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DAJOZ\"/>
    </mc:Choice>
  </mc:AlternateContent>
  <workbookProtection workbookAlgorithmName="SHA-512" workbookHashValue="z99r5J1tmuWRhc78yrM/66A6WU+KtRPnl/ynwlq2wGz+Nj0hUbgQMAhjUhu525SmAH2FTOmQmfsjOlB8hVZKhw==" workbookSaltValue="LdF2O6Qj2L5HaTwav+RT6w==" workbookSpinCount="100000" lockStructure="1"/>
  <bookViews>
    <workbookView xWindow="-105" yWindow="-105" windowWidth="15570" windowHeight="1204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EW19" i="19" l="1"/>
  <c r="EW19" i="8"/>
  <c r="EV19" i="19"/>
  <c r="AW13" i="11"/>
  <c r="AU13" i="17"/>
  <c r="AW18" i="11"/>
  <c r="BP18" i="16"/>
  <c r="BP13" i="16"/>
  <c r="AX13" i="21"/>
  <c r="AY19" i="20"/>
  <c r="AW18" i="20"/>
  <c r="AW13" i="20"/>
  <c r="AU18" i="17"/>
  <c r="EV19" i="8"/>
  <c r="EV19" i="13"/>
  <c r="AW20" i="20"/>
  <c r="AY20" i="20"/>
  <c r="AU19" i="17" l="1"/>
  <c r="AX21" i="21"/>
  <c r="BR19" i="16"/>
  <c r="AW21" i="11"/>
  <c r="BB16" i="13"/>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BD11" i="13" s="1"/>
  <c r="AZ12" i="13"/>
  <c r="AZ11" i="13"/>
  <c r="AY12" i="13"/>
  <c r="BG12" i="13" s="1"/>
  <c r="AY11" i="13"/>
  <c r="BB9" i="13"/>
  <c r="BA9" i="13"/>
  <c r="BD9" i="13" s="1"/>
  <c r="AY9" i="13"/>
  <c r="BC12" i="13"/>
  <c r="BC11" i="13"/>
  <c r="BC10" i="13"/>
  <c r="BB10" i="13"/>
  <c r="BE10" i="13" s="1"/>
  <c r="BA10" i="13"/>
  <c r="AZ10" i="13"/>
  <c r="BG10" i="13" s="1"/>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8" i="11" s="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AI18" i="8"/>
  <c r="S18" i="12" s="1"/>
  <c r="AH18" i="8"/>
  <c r="R18" i="12" s="1"/>
  <c r="AG18" i="8"/>
  <c r="Q18" i="12" s="1"/>
  <c r="AF18" i="8"/>
  <c r="AE18" i="8"/>
  <c r="AE19" i="8" s="1"/>
  <c r="AD18" i="8"/>
  <c r="AC18" i="8"/>
  <c r="AB18" i="8"/>
  <c r="AA18" i="8"/>
  <c r="Z18" i="8"/>
  <c r="Y18" i="8"/>
  <c r="X18" i="8"/>
  <c r="W18" i="8"/>
  <c r="V18" i="8"/>
  <c r="U18" i="8"/>
  <c r="T18" i="8"/>
  <c r="S18" i="8"/>
  <c r="S19" i="8" s="1"/>
  <c r="R18" i="8"/>
  <c r="Q18" i="8"/>
  <c r="Q19" i="8" s="1"/>
  <c r="P18" i="8"/>
  <c r="O18" i="8"/>
  <c r="M18" i="8"/>
  <c r="N18" i="8"/>
  <c r="L18" i="8"/>
  <c r="E18" i="7" s="1"/>
  <c r="K18" i="8"/>
  <c r="D18" i="7" s="1"/>
  <c r="J18" i="8"/>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T13" i="12" s="1"/>
  <c r="AI13" i="8"/>
  <c r="AH13" i="8"/>
  <c r="R13" i="12" s="1"/>
  <c r="AG13" i="8"/>
  <c r="AF13" i="8"/>
  <c r="AE13" i="8"/>
  <c r="AD13" i="8"/>
  <c r="AC13" i="8"/>
  <c r="AB13" i="8"/>
  <c r="AA13" i="8"/>
  <c r="Z13" i="8"/>
  <c r="Y13" i="8"/>
  <c r="X13" i="8"/>
  <c r="W13" i="8"/>
  <c r="V13" i="8"/>
  <c r="U13" i="8"/>
  <c r="T13" i="8"/>
  <c r="S13" i="8"/>
  <c r="R13" i="8"/>
  <c r="Q13" i="8"/>
  <c r="P13" i="8"/>
  <c r="O13" i="8"/>
  <c r="N13" i="8"/>
  <c r="M13" i="8"/>
  <c r="L13" i="8"/>
  <c r="L19" i="8" s="1"/>
  <c r="K13" i="8"/>
  <c r="J13" i="8"/>
  <c r="C13" i="7" s="1"/>
  <c r="I13" i="8"/>
  <c r="CV18" i="8"/>
  <c r="CV13" i="8"/>
  <c r="CL18" i="8"/>
  <c r="CK18" i="8"/>
  <c r="CJ18" i="8"/>
  <c r="CI18" i="8"/>
  <c r="CH18" i="8"/>
  <c r="P18" i="12" s="1"/>
  <c r="CG18" i="8"/>
  <c r="O18" i="12" s="1"/>
  <c r="CU13" i="8"/>
  <c r="CT13" i="8"/>
  <c r="CS13" i="8"/>
  <c r="CL13" i="8"/>
  <c r="CK13" i="8"/>
  <c r="CJ13" i="8"/>
  <c r="CI13" i="8"/>
  <c r="AP13" i="17" s="1"/>
  <c r="CH13" i="8"/>
  <c r="P13" i="12" s="1"/>
  <c r="CG13" i="8"/>
  <c r="O13" i="12" s="1"/>
  <c r="A18" i="3"/>
  <c r="Q15" i="14"/>
  <c r="Q11" i="14"/>
  <c r="Q9" i="14"/>
  <c r="S4" i="9"/>
  <c r="S5" i="9"/>
  <c r="S6" i="9"/>
  <c r="S3" i="9"/>
  <c r="R8" i="9" s="1"/>
  <c r="BV11" i="16" s="1"/>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AL16" i="11" s="1"/>
  <c r="G17" i="2"/>
  <c r="E15" i="2"/>
  <c r="AO15" i="11" s="1"/>
  <c r="E16" i="2"/>
  <c r="E17" i="2"/>
  <c r="B17" i="6" s="1"/>
  <c r="C16" i="2"/>
  <c r="C17" i="2"/>
  <c r="I9" i="2"/>
  <c r="I10" i="2"/>
  <c r="I11" i="2"/>
  <c r="I12" i="2"/>
  <c r="C10" i="2"/>
  <c r="C11" i="2"/>
  <c r="D11" i="2" s="1"/>
  <c r="C12" i="2"/>
  <c r="D12" i="2" s="1"/>
  <c r="G9" i="2"/>
  <c r="G10" i="2"/>
  <c r="G11" i="2"/>
  <c r="C11" i="6" s="1"/>
  <c r="G12" i="2"/>
  <c r="E9" i="2"/>
  <c r="E9" i="6" s="1"/>
  <c r="E10" i="2"/>
  <c r="E10" i="6"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BG9" i="8" s="1"/>
  <c r="K9" i="7"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Y19" i="13"/>
  <c r="B2" i="8"/>
  <c r="A3" i="8"/>
  <c r="B3" i="8"/>
  <c r="A4" i="8"/>
  <c r="B4" i="8"/>
  <c r="A5" i="8"/>
  <c r="BC9" i="8"/>
  <c r="BF9" i="8" s="1"/>
  <c r="AY10" i="8"/>
  <c r="AZ10" i="8"/>
  <c r="BA10" i="8"/>
  <c r="BB10" i="8"/>
  <c r="BC10" i="8"/>
  <c r="BC11" i="8"/>
  <c r="BF11" i="8" s="1"/>
  <c r="BC12" i="8"/>
  <c r="BC15" i="8"/>
  <c r="BF15" i="8" s="1"/>
  <c r="BC16" i="8"/>
  <c r="AY17" i="8"/>
  <c r="AZ17" i="8"/>
  <c r="BA17" i="8"/>
  <c r="BD17" i="8" s="1"/>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D10" i="6" s="1"/>
  <c r="F10" i="3"/>
  <c r="H10" i="3"/>
  <c r="A11" i="3"/>
  <c r="C11" i="3"/>
  <c r="D11" i="3"/>
  <c r="F11" i="3"/>
  <c r="H11" i="3"/>
  <c r="A12" i="3"/>
  <c r="C12" i="3"/>
  <c r="D12" i="3"/>
  <c r="F12" i="3"/>
  <c r="H12" i="3"/>
  <c r="A13" i="3"/>
  <c r="A14" i="3"/>
  <c r="A15" i="3"/>
  <c r="C15" i="3"/>
  <c r="D15" i="3"/>
  <c r="F15" i="3"/>
  <c r="H15" i="3"/>
  <c r="A16" i="3"/>
  <c r="C16" i="3"/>
  <c r="D16" i="3"/>
  <c r="AN16" i="11" s="1"/>
  <c r="F16" i="3"/>
  <c r="H16" i="3"/>
  <c r="I16" i="3" s="1"/>
  <c r="A17" i="3"/>
  <c r="C17" i="3"/>
  <c r="D17" i="3"/>
  <c r="F17" i="3"/>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F16" i="8"/>
  <c r="AN18" i="17"/>
  <c r="BG11" i="13"/>
  <c r="AS13" i="8"/>
  <c r="AS19" i="8" s="1"/>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BE12" i="8"/>
  <c r="D13" i="7"/>
  <c r="AW18" i="21"/>
  <c r="AR13" i="21"/>
  <c r="P19" i="19"/>
  <c r="BM18" i="16"/>
  <c r="B13" i="7"/>
  <c r="E18" i="12"/>
  <c r="EL19" i="8"/>
  <c r="AP12" i="11"/>
  <c r="EN19" i="8"/>
  <c r="F12" i="21"/>
  <c r="G10" i="3"/>
  <c r="BA13" i="16"/>
  <c r="AP10" i="11"/>
  <c r="Y12" i="11"/>
  <c r="T10" i="21"/>
  <c r="ES19" i="8"/>
  <c r="C18" i="7"/>
  <c r="BM19" i="8"/>
  <c r="AL13" i="16"/>
  <c r="S13" i="16"/>
  <c r="P13" i="16"/>
  <c r="AM13" i="20"/>
  <c r="Z13" i="17"/>
  <c r="M18" i="2"/>
  <c r="H13" i="12"/>
  <c r="F13" i="7"/>
  <c r="BW12" i="20"/>
  <c r="BW11" i="20"/>
  <c r="BW10" i="20"/>
  <c r="BV9" i="16"/>
  <c r="AZ12" i="11"/>
  <c r="T16" i="11"/>
  <c r="Q17" i="17"/>
  <c r="BI9" i="11"/>
  <c r="T12" i="11"/>
  <c r="BK16" i="11"/>
  <c r="BG16" i="11"/>
  <c r="BH16" i="11"/>
  <c r="BJ16" i="11"/>
  <c r="BG10" i="8"/>
  <c r="BD15" i="8"/>
  <c r="BD9" i="8"/>
  <c r="BA13" i="8"/>
  <c r="AA10" i="16"/>
  <c r="S15" i="17"/>
  <c r="E13" i="17"/>
  <c r="S16" i="17"/>
  <c r="L17" i="2"/>
  <c r="AA11" i="16"/>
  <c r="T13" i="20"/>
  <c r="T13" i="16"/>
  <c r="AP13" i="16"/>
  <c r="V9" i="16"/>
  <c r="BG15" i="13"/>
  <c r="BE16" i="13"/>
  <c r="F20" i="20"/>
  <c r="AE20" i="20"/>
  <c r="L20" i="20"/>
  <c r="AP20" i="20"/>
  <c r="AF20" i="20"/>
  <c r="O20" i="20"/>
  <c r="Q20" i="20"/>
  <c r="AG20" i="20"/>
  <c r="O16" i="11"/>
  <c r="AQ20" i="21"/>
  <c r="G18" i="14"/>
  <c r="Z20" i="20"/>
  <c r="AM20" i="20"/>
  <c r="AK20" i="20"/>
  <c r="AB20" i="20"/>
  <c r="E20" i="20"/>
  <c r="P20" i="20"/>
  <c r="W20" i="21"/>
  <c r="R20" i="20"/>
  <c r="O10" i="11"/>
  <c r="J20" i="20"/>
  <c r="M20" i="20"/>
  <c r="AH20" i="20"/>
  <c r="T20" i="21"/>
  <c r="I20" i="20"/>
  <c r="AJ20" i="20"/>
  <c r="W20" i="20"/>
  <c r="AO20" i="20"/>
  <c r="AU20" i="20"/>
  <c r="Y20" i="20"/>
  <c r="AV20" i="20"/>
  <c r="AQ20" i="20"/>
  <c r="AV18" i="21" l="1"/>
  <c r="G18" i="12"/>
  <c r="I19" i="8"/>
  <c r="AH13" i="16"/>
  <c r="G12" i="12"/>
  <c r="AN12" i="11"/>
  <c r="AB13" i="21"/>
  <c r="AB19" i="21" s="1"/>
  <c r="BG12" i="8"/>
  <c r="AC10" i="11"/>
  <c r="J10" i="2"/>
  <c r="AO17" i="11"/>
  <c r="X15" i="16"/>
  <c r="X18" i="16" s="1"/>
  <c r="L12" i="2"/>
  <c r="BL16" i="11"/>
  <c r="AQ12" i="21"/>
  <c r="T11" i="11"/>
  <c r="BH11" i="11"/>
  <c r="BJ10" i="11"/>
  <c r="AQ10" i="21"/>
  <c r="BH10" i="11"/>
  <c r="BG12" i="11"/>
  <c r="S11" i="14"/>
  <c r="V11" i="14" s="1"/>
  <c r="S12" i="14"/>
  <c r="V12" i="14" s="1"/>
  <c r="BU16" i="17"/>
  <c r="U10" i="17"/>
  <c r="X12" i="21"/>
  <c r="V9" i="11"/>
  <c r="T15" i="16"/>
  <c r="BH9" i="16"/>
  <c r="BJ17" i="11"/>
  <c r="BH15" i="16"/>
  <c r="V11" i="16"/>
  <c r="BF16" i="11"/>
  <c r="BL12" i="11"/>
  <c r="V12" i="21"/>
  <c r="BK15" i="11"/>
  <c r="V11" i="11"/>
  <c r="Q10" i="21"/>
  <c r="S9" i="14"/>
  <c r="V9" i="14" s="1"/>
  <c r="BI15" i="11"/>
  <c r="BJ15" i="11"/>
  <c r="X17" i="20"/>
  <c r="BI17" i="11"/>
  <c r="BG9" i="11"/>
  <c r="BL11" i="11"/>
  <c r="BH17" i="11"/>
  <c r="BM15" i="11"/>
  <c r="AP17" i="20"/>
  <c r="BU15" i="17"/>
  <c r="BW9" i="20"/>
  <c r="BW17" i="20"/>
  <c r="BV16" i="16"/>
  <c r="BW16" i="20"/>
  <c r="BV15" i="16"/>
  <c r="BW15" i="20"/>
  <c r="BU9" i="17"/>
  <c r="BV10" i="16"/>
  <c r="BU17" i="17"/>
  <c r="BU12" i="17"/>
  <c r="AZ16" i="11"/>
  <c r="X15" i="17"/>
  <c r="AZ11" i="11"/>
  <c r="S15" i="16"/>
  <c r="P15" i="17"/>
  <c r="BF12" i="11"/>
  <c r="BL15" i="11"/>
  <c r="BL10" i="11"/>
  <c r="R11" i="14"/>
  <c r="BH10" i="16"/>
  <c r="Q15" i="17"/>
  <c r="BM17" i="11"/>
  <c r="BF15" i="11"/>
  <c r="S17" i="17"/>
  <c r="BM9" i="11"/>
  <c r="BH12" i="16"/>
  <c r="BK10" i="11"/>
  <c r="L10" i="2"/>
  <c r="L15" i="2"/>
  <c r="L16" i="2"/>
  <c r="X10" i="21"/>
  <c r="U9" i="17"/>
  <c r="U19" i="17" s="1"/>
  <c r="L9" i="2"/>
  <c r="AA9" i="16"/>
  <c r="AP16" i="20"/>
  <c r="V15" i="11"/>
  <c r="BH15" i="11"/>
  <c r="Q17" i="20"/>
  <c r="Q18" i="20" s="1"/>
  <c r="BF17" i="11"/>
  <c r="S17" i="16"/>
  <c r="S9" i="17"/>
  <c r="BI10" i="11"/>
  <c r="S16" i="14"/>
  <c r="V16" i="14" s="1"/>
  <c r="BJ11" i="11"/>
  <c r="R10" i="21"/>
  <c r="R13" i="21" s="1"/>
  <c r="BJ12" i="11"/>
  <c r="AP15" i="20"/>
  <c r="BG15" i="11"/>
  <c r="R17" i="20"/>
  <c r="R18" i="20" s="1"/>
  <c r="BK17" i="11"/>
  <c r="T17" i="16"/>
  <c r="BU11" i="17"/>
  <c r="BV17" i="16"/>
  <c r="BU10" i="17"/>
  <c r="BV12" i="16"/>
  <c r="AA16" i="16"/>
  <c r="X17" i="17"/>
  <c r="BE11" i="13"/>
  <c r="BE12" i="21"/>
  <c r="BE13" i="21" s="1"/>
  <c r="BE19" i="21" s="1"/>
  <c r="F15" i="16"/>
  <c r="BL15" i="16" s="1"/>
  <c r="AL9" i="11"/>
  <c r="E11" i="6"/>
  <c r="AO9" i="11"/>
  <c r="BE9" i="13"/>
  <c r="BH9" i="11"/>
  <c r="BM12" i="11"/>
  <c r="AP10" i="21"/>
  <c r="X9" i="17"/>
  <c r="BK11" i="11"/>
  <c r="X11" i="17"/>
  <c r="BK9" i="11"/>
  <c r="BK13" i="11" s="1"/>
  <c r="BF10" i="11"/>
  <c r="BK12" i="11"/>
  <c r="BL17" i="11"/>
  <c r="P17" i="17"/>
  <c r="P18" i="17" s="1"/>
  <c r="P19" i="17" s="1"/>
  <c r="BM16" i="11"/>
  <c r="BG10" i="11"/>
  <c r="BH17" i="16"/>
  <c r="BL9" i="11"/>
  <c r="BH11" i="16"/>
  <c r="BF11" i="11"/>
  <c r="T17" i="11"/>
  <c r="V10" i="21"/>
  <c r="R17" i="14"/>
  <c r="X16" i="17"/>
  <c r="X10" i="17"/>
  <c r="AA15" i="16"/>
  <c r="X13" i="20"/>
  <c r="T17" i="20"/>
  <c r="U10" i="21"/>
  <c r="AA12" i="21"/>
  <c r="X16" i="20"/>
  <c r="V17" i="16"/>
  <c r="S10" i="17"/>
  <c r="L11" i="2"/>
  <c r="X9" i="16"/>
  <c r="X19" i="16" s="1"/>
  <c r="V15" i="20"/>
  <c r="V18" i="20" s="1"/>
  <c r="S10" i="14"/>
  <c r="V10" i="14" s="1"/>
  <c r="S17" i="14"/>
  <c r="V17" i="14" s="1"/>
  <c r="R10" i="14"/>
  <c r="R12" i="14"/>
  <c r="R16" i="14"/>
  <c r="AO17" i="17"/>
  <c r="T9" i="11"/>
  <c r="S15" i="14"/>
  <c r="V15" i="14" s="1"/>
  <c r="T15" i="11"/>
  <c r="X12" i="17"/>
  <c r="AA17" i="16"/>
  <c r="V15" i="16"/>
  <c r="S11" i="17"/>
  <c r="V10" i="16"/>
  <c r="V12" i="16"/>
  <c r="AZ9" i="11"/>
  <c r="AZ13" i="11" s="1"/>
  <c r="AZ15" i="11"/>
  <c r="AZ18" i="11" s="1"/>
  <c r="AZ17" i="11"/>
  <c r="X12" i="16"/>
  <c r="AO13" i="21"/>
  <c r="AB21" i="21"/>
  <c r="AF13" i="21"/>
  <c r="AF19" i="21" s="1"/>
  <c r="BB18" i="13"/>
  <c r="BB13" i="13"/>
  <c r="BC18" i="13"/>
  <c r="BD17" i="13"/>
  <c r="B11" i="6"/>
  <c r="I13" i="2"/>
  <c r="J13" i="2" s="1"/>
  <c r="B16" i="6"/>
  <c r="D18" i="12"/>
  <c r="BJ13" i="16"/>
  <c r="C19" i="3"/>
  <c r="BF12" i="8"/>
  <c r="J12" i="7" s="1"/>
  <c r="AC11" i="11"/>
  <c r="AO11" i="11"/>
  <c r="H9" i="7"/>
  <c r="D17" i="2"/>
  <c r="AL11" i="11"/>
  <c r="AM16" i="11"/>
  <c r="C16" i="6"/>
  <c r="H17" i="7"/>
  <c r="F9" i="2"/>
  <c r="AN11" i="11"/>
  <c r="BB19" i="19"/>
  <c r="BK19" i="13"/>
  <c r="AE19" i="13"/>
  <c r="AB19" i="13"/>
  <c r="BF15" i="13"/>
  <c r="BE17" i="13"/>
  <c r="ER19" i="13"/>
  <c r="AL19" i="16"/>
  <c r="S18" i="16"/>
  <c r="H19" i="21"/>
  <c r="Z19" i="8"/>
  <c r="H12" i="2"/>
  <c r="AO10" i="17"/>
  <c r="AM9" i="11"/>
  <c r="C18" i="2"/>
  <c r="D18" i="2" s="1"/>
  <c r="L16" i="14"/>
  <c r="I15" i="3"/>
  <c r="G12" i="3"/>
  <c r="K10" i="7"/>
  <c r="AO16" i="17"/>
  <c r="E12" i="6"/>
  <c r="D12" i="6"/>
  <c r="J12" i="12" s="1"/>
  <c r="AL12" i="11"/>
  <c r="E15" i="6"/>
  <c r="H17" i="2"/>
  <c r="J17" i="7"/>
  <c r="AM11" i="11"/>
  <c r="C9" i="6"/>
  <c r="J12" i="2"/>
  <c r="Y19" i="19"/>
  <c r="V19" i="19"/>
  <c r="ER19" i="19"/>
  <c r="F15" i="17"/>
  <c r="AQ15" i="17" s="1"/>
  <c r="X19" i="13"/>
  <c r="BA18" i="13"/>
  <c r="AZ18" i="13"/>
  <c r="BG17" i="8"/>
  <c r="K17" i="7" s="1"/>
  <c r="AY18" i="8"/>
  <c r="BE9" i="8"/>
  <c r="I9" i="7" s="1"/>
  <c r="BD11" i="8"/>
  <c r="H11" i="7" s="1"/>
  <c r="BE11" i="8"/>
  <c r="I11" i="7" s="1"/>
  <c r="BD12" i="8"/>
  <c r="H12" i="7" s="1"/>
  <c r="BG15" i="8"/>
  <c r="BE15" i="8"/>
  <c r="I15" i="7" s="1"/>
  <c r="O19" i="8"/>
  <c r="F17" i="11"/>
  <c r="AQ17" i="11" s="1"/>
  <c r="F11" i="11"/>
  <c r="Y9" i="11"/>
  <c r="R18" i="11"/>
  <c r="Y10" i="11"/>
  <c r="AC17" i="11"/>
  <c r="AQ10" i="11"/>
  <c r="AR18" i="11"/>
  <c r="B15" i="6"/>
  <c r="C17" i="6"/>
  <c r="AO15" i="17"/>
  <c r="AX21" i="11"/>
  <c r="I12" i="3"/>
  <c r="I10" i="3"/>
  <c r="BI17" i="16"/>
  <c r="J16" i="10"/>
  <c r="L16" i="10" s="1"/>
  <c r="H15" i="7"/>
  <c r="AM15" i="11"/>
  <c r="I18" i="2"/>
  <c r="J18" i="2" s="1"/>
  <c r="G18" i="2"/>
  <c r="L17" i="14"/>
  <c r="L11" i="14"/>
  <c r="AN17" i="11"/>
  <c r="AL17" i="11"/>
  <c r="H11" i="2"/>
  <c r="H9" i="2"/>
  <c r="N13" i="2"/>
  <c r="AQ19" i="19"/>
  <c r="R19" i="19"/>
  <c r="AD19" i="19"/>
  <c r="AS13" i="21"/>
  <c r="AO18" i="20"/>
  <c r="AP18" i="20"/>
  <c r="AT18" i="20"/>
  <c r="M13" i="21"/>
  <c r="M19" i="21" s="1"/>
  <c r="W18" i="16"/>
  <c r="BH19" i="13"/>
  <c r="AQ19" i="13"/>
  <c r="AM19" i="13"/>
  <c r="S19" i="13"/>
  <c r="D13" i="5"/>
  <c r="AY13" i="8"/>
  <c r="Y17" i="11"/>
  <c r="AA13" i="11"/>
  <c r="AC12" i="11"/>
  <c r="U19" i="8"/>
  <c r="W19" i="8"/>
  <c r="Y19" i="8"/>
  <c r="AA19" i="8"/>
  <c r="AC19" i="8"/>
  <c r="AG19" i="8"/>
  <c r="AI19" i="8"/>
  <c r="AK19" i="8"/>
  <c r="AM19" i="8"/>
  <c r="D9" i="6"/>
  <c r="D11" i="12"/>
  <c r="CI19" i="8"/>
  <c r="AB19" i="8"/>
  <c r="X19" i="8"/>
  <c r="T19" i="8"/>
  <c r="R19" i="8"/>
  <c r="BE10" i="8"/>
  <c r="C15" i="14"/>
  <c r="K15" i="14" s="1"/>
  <c r="C10" i="6"/>
  <c r="I10" i="12" s="1"/>
  <c r="J9" i="2"/>
  <c r="AO16" i="11"/>
  <c r="AL15" i="11"/>
  <c r="F16" i="11"/>
  <c r="Y11" i="11"/>
  <c r="AP9" i="11"/>
  <c r="J13" i="11"/>
  <c r="N12" i="11"/>
  <c r="L18" i="11"/>
  <c r="F15" i="11"/>
  <c r="AQ15" i="11" s="1"/>
  <c r="F12" i="11"/>
  <c r="AQ12" i="11" s="1"/>
  <c r="BK19" i="8"/>
  <c r="F16" i="17"/>
  <c r="AE13" i="17"/>
  <c r="AV18" i="17"/>
  <c r="AT18" i="17"/>
  <c r="J18" i="17"/>
  <c r="EP19" i="8"/>
  <c r="EQ19" i="8"/>
  <c r="ER19" i="8"/>
  <c r="C12" i="14"/>
  <c r="K12" i="14" s="1"/>
  <c r="C10" i="14"/>
  <c r="K10" i="14" s="1"/>
  <c r="F9" i="12"/>
  <c r="E9" i="12"/>
  <c r="AQ11" i="11"/>
  <c r="F9" i="11"/>
  <c r="G9" i="12"/>
  <c r="BI16" i="16"/>
  <c r="G16" i="3"/>
  <c r="I11" i="3"/>
  <c r="H15" i="2"/>
  <c r="F15" i="2"/>
  <c r="AO9" i="17"/>
  <c r="AN15" i="11"/>
  <c r="E17" i="6"/>
  <c r="M13" i="2"/>
  <c r="N18" i="2"/>
  <c r="K18" i="2"/>
  <c r="R19" i="21"/>
  <c r="H21" i="21"/>
  <c r="G13" i="21"/>
  <c r="BD18" i="19"/>
  <c r="N19" i="19"/>
  <c r="Z19" i="19"/>
  <c r="AB19" i="19"/>
  <c r="AT19" i="19"/>
  <c r="BE18" i="19"/>
  <c r="BF18" i="19"/>
  <c r="I19" i="19"/>
  <c r="AO13" i="20"/>
  <c r="M19" i="19"/>
  <c r="U19" i="19"/>
  <c r="AC19" i="19"/>
  <c r="AG19" i="19"/>
  <c r="AK19" i="19"/>
  <c r="AO19" i="19"/>
  <c r="AS19" i="19"/>
  <c r="AR13" i="20"/>
  <c r="CK19" i="19"/>
  <c r="T19" i="19"/>
  <c r="AJ19" i="19"/>
  <c r="F17" i="17"/>
  <c r="AQ17" i="17" s="1"/>
  <c r="T18" i="17"/>
  <c r="BN18" i="16"/>
  <c r="BN19" i="16" s="1"/>
  <c r="H18" i="16"/>
  <c r="AJ13" i="16"/>
  <c r="F17" i="16"/>
  <c r="BL17" i="16" s="1"/>
  <c r="F11" i="16"/>
  <c r="BL11" i="16" s="1"/>
  <c r="AO19" i="13"/>
  <c r="AA19" i="13"/>
  <c r="U19" i="13"/>
  <c r="Q19" i="13"/>
  <c r="AN19" i="13"/>
  <c r="BA13" i="13"/>
  <c r="AZ13" i="13"/>
  <c r="AC19" i="13"/>
  <c r="W19" i="13"/>
  <c r="Z19" i="13"/>
  <c r="V19" i="13"/>
  <c r="BC13" i="13"/>
  <c r="K15" i="7"/>
  <c r="BJ18" i="11"/>
  <c r="C13" i="5"/>
  <c r="BG16" i="8"/>
  <c r="BD16" i="8"/>
  <c r="H16" i="7" s="1"/>
  <c r="F12" i="2"/>
  <c r="AO12" i="11"/>
  <c r="K10" i="12"/>
  <c r="L12" i="14"/>
  <c r="I12" i="7"/>
  <c r="C12" i="6"/>
  <c r="I12" i="12" s="1"/>
  <c r="B12" i="6"/>
  <c r="AO12" i="17"/>
  <c r="L10" i="14"/>
  <c r="B10" i="6"/>
  <c r="I10" i="7"/>
  <c r="T18" i="12"/>
  <c r="AJ19" i="8"/>
  <c r="AL19" i="8"/>
  <c r="G17" i="3"/>
  <c r="G15" i="3"/>
  <c r="G13" i="2"/>
  <c r="K9" i="12"/>
  <c r="K12" i="7"/>
  <c r="S19" i="16"/>
  <c r="AM12" i="11"/>
  <c r="E13" i="2"/>
  <c r="F13" i="2" s="1"/>
  <c r="F10" i="2"/>
  <c r="AN10" i="11"/>
  <c r="D16" i="6"/>
  <c r="E12" i="3"/>
  <c r="E16" i="3"/>
  <c r="AL10" i="11"/>
  <c r="H18" i="3"/>
  <c r="I18" i="3" s="1"/>
  <c r="AH19" i="8"/>
  <c r="I11" i="12"/>
  <c r="H10" i="2"/>
  <c r="W13" i="17"/>
  <c r="X13" i="17" s="1"/>
  <c r="AG13" i="16"/>
  <c r="I17" i="3"/>
  <c r="E17" i="3"/>
  <c r="J11" i="7"/>
  <c r="AI18" i="11"/>
  <c r="AG13" i="11"/>
  <c r="H18" i="12"/>
  <c r="I10" i="10"/>
  <c r="K10" i="10" s="1"/>
  <c r="D9" i="12"/>
  <c r="E12" i="12"/>
  <c r="F11" i="12"/>
  <c r="AP15" i="11"/>
  <c r="AV13" i="11"/>
  <c r="AB18" i="11"/>
  <c r="I18" i="11"/>
  <c r="J15" i="7"/>
  <c r="J9" i="7"/>
  <c r="D17" i="6"/>
  <c r="J17" i="12" s="1"/>
  <c r="E10" i="3"/>
  <c r="E15" i="3"/>
  <c r="G11" i="3"/>
  <c r="J17" i="10"/>
  <c r="L17" i="10" s="1"/>
  <c r="J9" i="10"/>
  <c r="L9" i="10" s="1"/>
  <c r="I16" i="10"/>
  <c r="K16" i="10" s="1"/>
  <c r="I12" i="10"/>
  <c r="K12" i="10" s="1"/>
  <c r="B9" i="6"/>
  <c r="AN9" i="11"/>
  <c r="D10" i="2"/>
  <c r="AO10" i="11"/>
  <c r="L9" i="14"/>
  <c r="D16" i="2"/>
  <c r="E16" i="6"/>
  <c r="E18" i="2"/>
  <c r="F18" i="2" s="1"/>
  <c r="D15" i="6"/>
  <c r="BI15" i="16"/>
  <c r="L15" i="14"/>
  <c r="C15" i="6"/>
  <c r="I15" i="12" s="1"/>
  <c r="J15" i="2"/>
  <c r="AE19" i="21"/>
  <c r="BE13" i="19"/>
  <c r="AP19" i="19"/>
  <c r="X19" i="19"/>
  <c r="AF19" i="19"/>
  <c r="AM19" i="19"/>
  <c r="BI19" i="19"/>
  <c r="AY19" i="19"/>
  <c r="AP13" i="20"/>
  <c r="AQ13" i="21"/>
  <c r="BC19" i="19"/>
  <c r="AL19" i="19"/>
  <c r="AR19" i="19"/>
  <c r="EL19" i="19"/>
  <c r="S19" i="19"/>
  <c r="AA19" i="19"/>
  <c r="AI19" i="19"/>
  <c r="BK19" i="19"/>
  <c r="CL19" i="19"/>
  <c r="AG13" i="21"/>
  <c r="Q19" i="19"/>
  <c r="AN19" i="19"/>
  <c r="Q18" i="17"/>
  <c r="AC19" i="17"/>
  <c r="AV13" i="17"/>
  <c r="F11" i="17"/>
  <c r="AQ11" i="17" s="1"/>
  <c r="AX20" i="20"/>
  <c r="T20" i="20"/>
  <c r="X20" i="20"/>
  <c r="U10" i="11"/>
  <c r="AI20" i="20"/>
  <c r="AL20" i="20"/>
  <c r="H20" i="20"/>
  <c r="AA20" i="20"/>
  <c r="K20" i="20"/>
  <c r="U12" i="11"/>
  <c r="AN20" i="20"/>
  <c r="S20" i="20"/>
  <c r="N20" i="20"/>
  <c r="AD20" i="20"/>
  <c r="AZ20" i="20"/>
  <c r="G13" i="14"/>
  <c r="U16" i="11"/>
  <c r="K16" i="12" l="1"/>
  <c r="AZ19" i="11"/>
  <c r="K15" i="12"/>
  <c r="BF18" i="13"/>
  <c r="AV13" i="16"/>
  <c r="BC19" i="13"/>
  <c r="AK19" i="13"/>
  <c r="BE13" i="13"/>
  <c r="BD13" i="13"/>
  <c r="BG9" i="13"/>
  <c r="BF9" i="13"/>
  <c r="AY13" i="13"/>
  <c r="BG13" i="13" s="1"/>
  <c r="BD12" i="13"/>
  <c r="BM19" i="13"/>
  <c r="AD19" i="13"/>
  <c r="AI19" i="13"/>
  <c r="L19" i="13"/>
  <c r="N19" i="13"/>
  <c r="BD10" i="13"/>
  <c r="J15" i="12"/>
  <c r="AE13" i="11"/>
  <c r="BE17" i="8"/>
  <c r="I17" i="7" s="1"/>
  <c r="AP13" i="21"/>
  <c r="AR13" i="11"/>
  <c r="G18" i="7"/>
  <c r="N13" i="17"/>
  <c r="AT19" i="8"/>
  <c r="K13" i="17"/>
  <c r="J13" i="17"/>
  <c r="K18" i="17"/>
  <c r="AF13" i="17"/>
  <c r="AX21" i="17"/>
  <c r="AQ10" i="17"/>
  <c r="AM13" i="21"/>
  <c r="AM19" i="21" s="1"/>
  <c r="BC21" i="21"/>
  <c r="Q19" i="17"/>
  <c r="J9" i="12"/>
  <c r="I9" i="12"/>
  <c r="J15" i="10"/>
  <c r="L15" i="10" s="1"/>
  <c r="J12" i="10"/>
  <c r="L12" i="10" s="1"/>
  <c r="J11" i="10"/>
  <c r="L11" i="10" s="1"/>
  <c r="E11" i="12"/>
  <c r="AH13" i="11"/>
  <c r="AP11" i="11"/>
  <c r="AG13" i="17"/>
  <c r="AJ18" i="17"/>
  <c r="AJ13" i="17"/>
  <c r="AK18" i="17"/>
  <c r="AK13" i="17"/>
  <c r="AL13" i="17"/>
  <c r="AM13" i="17"/>
  <c r="AT19" i="17"/>
  <c r="G13" i="16"/>
  <c r="EM19" i="8"/>
  <c r="E13" i="21"/>
  <c r="N13" i="21"/>
  <c r="N19" i="21" s="1"/>
  <c r="O13" i="21"/>
  <c r="AL13" i="21"/>
  <c r="AL21" i="21" s="1"/>
  <c r="AN13" i="21"/>
  <c r="AY13" i="21"/>
  <c r="BA21" i="21"/>
  <c r="AT10" i="21"/>
  <c r="C17" i="14"/>
  <c r="K17" i="14" s="1"/>
  <c r="F12" i="12"/>
  <c r="D12" i="12"/>
  <c r="Q9" i="11"/>
  <c r="AS13" i="11"/>
  <c r="AS18" i="11"/>
  <c r="E13" i="11"/>
  <c r="AH18" i="11"/>
  <c r="S13" i="11"/>
  <c r="T13" i="11" s="1"/>
  <c r="AI13" i="11"/>
  <c r="AI19" i="11" s="1"/>
  <c r="F18" i="11"/>
  <c r="AU13" i="11"/>
  <c r="AP17" i="11"/>
  <c r="AT13" i="11"/>
  <c r="AV18" i="11"/>
  <c r="R13" i="11"/>
  <c r="Z13" i="11"/>
  <c r="AD13" i="11"/>
  <c r="AF18" i="11"/>
  <c r="AF13" i="11"/>
  <c r="Q15" i="11"/>
  <c r="I13" i="11"/>
  <c r="I19" i="11" s="1"/>
  <c r="J18" i="11"/>
  <c r="AC15" i="11"/>
  <c r="AY18" i="11"/>
  <c r="C18" i="5"/>
  <c r="B13" i="5"/>
  <c r="J10" i="10"/>
  <c r="L10" i="10" s="1"/>
  <c r="AM13" i="11"/>
  <c r="C13" i="6"/>
  <c r="F17" i="2"/>
  <c r="K16" i="7"/>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G21" i="21"/>
  <c r="G20" i="21"/>
  <c r="BD21" i="21"/>
  <c r="AT18" i="21"/>
  <c r="AN19" i="21"/>
  <c r="AG19" i="21"/>
  <c r="AA18" i="21"/>
  <c r="AN21"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Y13" i="11"/>
  <c r="AC16" i="11"/>
  <c r="K13" i="11"/>
  <c r="N18" i="11"/>
  <c r="P12" i="11"/>
  <c r="AZ10" i="11"/>
  <c r="AT18" i="11"/>
  <c r="M13" i="11"/>
  <c r="L13" i="11"/>
  <c r="AP16" i="11"/>
  <c r="Z18" i="11"/>
  <c r="AB13" i="11"/>
  <c r="AI21" i="11"/>
  <c r="BH18" i="11"/>
  <c r="AQ16" i="11"/>
  <c r="W18" i="11"/>
  <c r="Y16" i="11"/>
  <c r="X18" i="11"/>
  <c r="AC9" i="11"/>
  <c r="H13" i="11"/>
  <c r="E13" i="12" s="1"/>
  <c r="AC13" i="11"/>
  <c r="S18" i="11"/>
  <c r="H18" i="11"/>
  <c r="X13" i="11"/>
  <c r="AA18" i="11"/>
  <c r="AA19" i="11" s="1"/>
  <c r="M18" i="11"/>
  <c r="C16" i="14"/>
  <c r="K16" i="14" s="1"/>
  <c r="AV19" i="17"/>
  <c r="J16" i="7"/>
  <c r="J16" i="12"/>
  <c r="F18" i="3"/>
  <c r="G18" i="3" s="1"/>
  <c r="H13" i="3"/>
  <c r="AN18" i="11"/>
  <c r="E18" i="6"/>
  <c r="BF18" i="11"/>
  <c r="BK18" i="11"/>
  <c r="BK19" i="11" s="1"/>
  <c r="P15" i="11"/>
  <c r="K12" i="12"/>
  <c r="AJ18" i="11"/>
  <c r="D18" i="5"/>
  <c r="P17" i="11"/>
  <c r="F16" i="2"/>
  <c r="H16" i="2"/>
  <c r="J16" i="2"/>
  <c r="F13" i="3"/>
  <c r="E9" i="3"/>
  <c r="G9" i="3"/>
  <c r="T18" i="16"/>
  <c r="T19" i="16" s="1"/>
  <c r="AO18" i="1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E13" i="16"/>
  <c r="F12" i="16"/>
  <c r="BL12" i="16" s="1"/>
  <c r="K13" i="21"/>
  <c r="K19" i="21" s="1"/>
  <c r="U18" i="16"/>
  <c r="L13" i="16"/>
  <c r="BC13" i="8"/>
  <c r="G18" i="17"/>
  <c r="AR18" i="17"/>
  <c r="N13" i="16"/>
  <c r="V13" i="17"/>
  <c r="V19" i="17" s="1"/>
  <c r="AV18" i="16"/>
  <c r="Y19" i="21"/>
  <c r="AW18" i="16"/>
  <c r="AY13" i="16"/>
  <c r="AG18" i="17"/>
  <c r="AG21" i="17" s="1"/>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AL19" i="21"/>
  <c r="CI19" i="19"/>
  <c r="AS19" i="21" s="1"/>
  <c r="EN19" i="19"/>
  <c r="AM18" i="20"/>
  <c r="AM21" i="20" s="1"/>
  <c r="EQ19" i="19"/>
  <c r="U18" i="20"/>
  <c r="AT12" i="21"/>
  <c r="AH19" i="19"/>
  <c r="AH18" i="20"/>
  <c r="AH19" i="20" s="1"/>
  <c r="AO21" i="21"/>
  <c r="BG18" i="19"/>
  <c r="I13" i="21"/>
  <c r="I19" i="21" s="1"/>
  <c r="EO19" i="19"/>
  <c r="C11" i="14"/>
  <c r="K11" i="14" s="1"/>
  <c r="M19" i="2"/>
  <c r="S13" i="21"/>
  <c r="S19" i="21" s="1"/>
  <c r="AE18" i="11"/>
  <c r="AJ13" i="11"/>
  <c r="F18" i="14"/>
  <c r="E18" i="14"/>
  <c r="F13" i="14"/>
  <c r="J19" i="8"/>
  <c r="C9" i="14"/>
  <c r="AQ9" i="11"/>
  <c r="BC18" i="8"/>
  <c r="AZ18" i="8"/>
  <c r="BE18" i="13"/>
  <c r="BB19" i="13"/>
  <c r="AQ16" i="17"/>
  <c r="I19" i="2"/>
  <c r="AG18" i="11"/>
  <c r="AK18" i="11"/>
  <c r="E13" i="14"/>
  <c r="U13" i="17"/>
  <c r="E19" i="2"/>
  <c r="BV13" i="16"/>
  <c r="BI18" i="16"/>
  <c r="D19" i="12"/>
  <c r="BF13" i="8"/>
  <c r="AY19" i="8"/>
  <c r="BW21" i="20"/>
  <c r="P9" i="11"/>
  <c r="Q10" i="11"/>
  <c r="D11" i="6"/>
  <c r="J11" i="12" s="1"/>
  <c r="E11" i="3"/>
  <c r="Q12" i="11"/>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P20" i="16"/>
  <c r="AX20" i="21"/>
  <c r="BR20" i="16"/>
  <c r="O17" i="11"/>
  <c r="AW20" i="11"/>
  <c r="AV20" i="21"/>
  <c r="U17" i="11"/>
  <c r="AC20" i="20"/>
  <c r="H20" i="17"/>
  <c r="AN21" i="20" l="1"/>
  <c r="AO19" i="20"/>
  <c r="G21" i="20"/>
  <c r="G19" i="20"/>
  <c r="J21" i="20"/>
  <c r="AU19" i="21"/>
  <c r="V17" i="11"/>
  <c r="Q18" i="11"/>
  <c r="AK19" i="20"/>
  <c r="AP19" i="16"/>
  <c r="AK19" i="16"/>
  <c r="L19" i="11"/>
  <c r="K19" i="17"/>
  <c r="H19" i="11"/>
  <c r="D19" i="14"/>
  <c r="AX21" i="20"/>
  <c r="BG19" i="19"/>
  <c r="AR19" i="20"/>
  <c r="F19" i="14"/>
  <c r="R19" i="11"/>
  <c r="AP13" i="11"/>
  <c r="E21" i="12"/>
  <c r="Y18" i="11"/>
  <c r="Z19" i="11"/>
  <c r="G21" i="11"/>
  <c r="AU21" i="21"/>
  <c r="AP19" i="20"/>
  <c r="F18" i="20"/>
  <c r="F21" i="20" s="1"/>
  <c r="J21" i="17"/>
  <c r="AF19" i="11"/>
  <c r="E19" i="17"/>
  <c r="BE18" i="8"/>
  <c r="I18" i="7" s="1"/>
  <c r="T18" i="11"/>
  <c r="I17" i="12"/>
  <c r="AG21" i="11"/>
  <c r="AY21" i="21"/>
  <c r="AO19" i="16"/>
  <c r="AE19" i="11"/>
  <c r="D21" i="12"/>
  <c r="AJ21" i="11"/>
  <c r="W19" i="11"/>
  <c r="D19" i="5"/>
  <c r="AQ19" i="21"/>
  <c r="G19" i="16"/>
  <c r="O19" i="16"/>
  <c r="BG21" i="16"/>
  <c r="BD19" i="16"/>
  <c r="BA19" i="13"/>
  <c r="BF19" i="13" s="1"/>
  <c r="J19" i="11"/>
  <c r="AY19" i="21"/>
  <c r="AJ21" i="17"/>
  <c r="D19" i="2"/>
  <c r="AK19" i="11"/>
  <c r="AG19" i="11"/>
  <c r="X19" i="11"/>
  <c r="AB19" i="11"/>
  <c r="M19" i="11"/>
  <c r="G20" i="11"/>
  <c r="G19" i="11"/>
  <c r="B19" i="5"/>
  <c r="U19" i="16"/>
  <c r="BF21" i="16"/>
  <c r="AC19" i="20"/>
  <c r="H20" i="21"/>
  <c r="BI20" i="16"/>
  <c r="AJ20" i="11"/>
  <c r="AC20" i="17"/>
  <c r="M20" i="11"/>
  <c r="U20" i="21"/>
  <c r="AS20" i="17"/>
  <c r="K20" i="17"/>
  <c r="AY20" i="11"/>
  <c r="R20" i="11"/>
  <c r="L20" i="16"/>
  <c r="AR20" i="21"/>
  <c r="Z20" i="11"/>
  <c r="AZ20" i="11"/>
  <c r="M20" i="16"/>
  <c r="O20" i="11"/>
  <c r="AR20" i="20"/>
  <c r="AM20" i="21"/>
  <c r="AV20" i="17"/>
  <c r="I20" i="21"/>
  <c r="AU20" i="16"/>
  <c r="AC20" i="21"/>
  <c r="AD20" i="11"/>
  <c r="AT20" i="11"/>
  <c r="AM20" i="16"/>
  <c r="U20" i="17"/>
  <c r="Y20" i="17"/>
  <c r="AD20" i="16"/>
  <c r="I20" i="11"/>
  <c r="BM20" i="16"/>
  <c r="D20" i="12"/>
  <c r="Z20" i="21"/>
  <c r="F20" i="16"/>
  <c r="L20" i="11"/>
  <c r="AV20" i="11"/>
  <c r="AK20" i="21"/>
  <c r="BN20" i="16"/>
  <c r="X20" i="17"/>
  <c r="N20" i="17"/>
  <c r="Q20" i="17"/>
  <c r="AM20" i="11"/>
  <c r="V20" i="20"/>
  <c r="W20" i="17"/>
  <c r="F20" i="21"/>
  <c r="W20" i="16"/>
  <c r="Y20" i="21"/>
  <c r="AW20" i="16"/>
  <c r="AF20" i="11"/>
  <c r="P20" i="11"/>
  <c r="X20" i="16"/>
  <c r="X20" i="11"/>
  <c r="AD20" i="21"/>
  <c r="I20" i="17"/>
  <c r="AC20" i="11"/>
  <c r="F20" i="11"/>
  <c r="J20" i="11"/>
  <c r="AT20" i="17"/>
  <c r="S20" i="16"/>
  <c r="S20" i="17"/>
  <c r="AT20" i="16"/>
  <c r="X20" i="21"/>
  <c r="AN20" i="11"/>
  <c r="J20" i="16"/>
  <c r="AT20" i="20"/>
  <c r="AN20" i="21"/>
  <c r="AY20" i="16"/>
  <c r="AK20" i="17"/>
  <c r="AX20" i="16"/>
  <c r="J20" i="21"/>
  <c r="K20" i="16"/>
  <c r="BC20" i="16"/>
  <c r="V20" i="21"/>
  <c r="T20" i="17"/>
  <c r="AP20" i="17"/>
  <c r="Y20" i="16"/>
  <c r="L20" i="17"/>
  <c r="O20" i="17"/>
  <c r="BD20" i="16"/>
  <c r="G20" i="12"/>
  <c r="AV20" i="16"/>
  <c r="M20" i="21"/>
  <c r="AB20" i="21"/>
  <c r="U20" i="11"/>
  <c r="BQ20" i="16"/>
  <c r="W20" i="11"/>
  <c r="AG20" i="16"/>
  <c r="AF20" i="17"/>
  <c r="BB20" i="16"/>
  <c r="F20" i="17"/>
  <c r="O20" i="21"/>
  <c r="P20" i="17"/>
  <c r="AB20" i="16"/>
  <c r="AW20" i="21"/>
  <c r="AL20" i="17"/>
  <c r="R20" i="21"/>
  <c r="I20" i="12"/>
  <c r="E20" i="16"/>
  <c r="E20" i="21"/>
  <c r="U20" i="20"/>
  <c r="P20" i="21"/>
  <c r="AK20" i="16"/>
  <c r="BS20" i="16"/>
  <c r="P20" i="16"/>
  <c r="T20" i="16"/>
  <c r="AS20" i="11"/>
  <c r="BE20" i="16"/>
  <c r="F20" i="12"/>
  <c r="U20" i="16"/>
  <c r="AL20" i="21"/>
  <c r="R20" i="17"/>
  <c r="AS20" i="16"/>
  <c r="BG20" i="16"/>
  <c r="I20" i="16"/>
  <c r="AE20" i="17"/>
  <c r="AJ20" i="17"/>
  <c r="L20" i="21"/>
  <c r="AJ20" i="16"/>
  <c r="S20" i="11"/>
  <c r="AC20" i="16"/>
  <c r="AF20" i="21"/>
  <c r="AA20" i="16"/>
  <c r="AR20" i="17"/>
  <c r="BK20" i="16"/>
  <c r="BJ20" i="16"/>
  <c r="BO20" i="16"/>
  <c r="N20" i="21"/>
  <c r="S20" i="21"/>
  <c r="V20" i="17"/>
  <c r="E20" i="17"/>
  <c r="AY20" i="21"/>
  <c r="Q20" i="16"/>
  <c r="AO20" i="16"/>
  <c r="Z20" i="17"/>
  <c r="AE20" i="16"/>
  <c r="AG20" i="11"/>
  <c r="AI20" i="11"/>
  <c r="AN20" i="17"/>
  <c r="AD20" i="17"/>
  <c r="AQ20" i="16"/>
  <c r="AE20" i="11"/>
  <c r="H20" i="11"/>
  <c r="AG20" i="21"/>
  <c r="BD20" i="21"/>
  <c r="AI20" i="16"/>
  <c r="V20" i="11"/>
  <c r="AU20" i="21"/>
  <c r="J20" i="12"/>
  <c r="N20" i="11"/>
  <c r="AR20" i="16"/>
  <c r="V20" i="16"/>
  <c r="N20" i="16"/>
  <c r="BH20" i="16"/>
  <c r="AA20" i="17"/>
  <c r="AI20" i="17"/>
  <c r="AB20" i="17"/>
  <c r="AF20" i="16"/>
  <c r="AJ20" i="21"/>
  <c r="AL20" i="16"/>
  <c r="AP20" i="21"/>
  <c r="R20" i="16"/>
  <c r="AZ20" i="16"/>
  <c r="AH20" i="11"/>
  <c r="Q20" i="21"/>
  <c r="AM20" i="17"/>
  <c r="BF20" i="16"/>
  <c r="AP20" i="16"/>
  <c r="AS20" i="21"/>
  <c r="E20" i="11"/>
  <c r="AH20" i="17"/>
  <c r="AK20" i="11"/>
  <c r="H20" i="12"/>
  <c r="O20" i="16"/>
  <c r="AN20" i="16"/>
  <c r="H20" i="16"/>
  <c r="BE20" i="21"/>
  <c r="AO20" i="21"/>
  <c r="K20" i="11"/>
  <c r="AU20" i="11"/>
  <c r="J20" i="17"/>
  <c r="AW20" i="17"/>
  <c r="AA20" i="21"/>
  <c r="Z20" i="16"/>
  <c r="K20" i="21"/>
  <c r="AI20" i="21"/>
  <c r="T20" i="11"/>
  <c r="Y20" i="11"/>
  <c r="K20" i="12"/>
  <c r="AE20" i="21"/>
  <c r="AO20" i="17"/>
  <c r="BC20" i="21"/>
  <c r="AR20" i="11"/>
  <c r="BA20" i="16"/>
  <c r="AA20" i="11"/>
  <c r="E20" i="12"/>
  <c r="AH20" i="21"/>
  <c r="AB20" i="11"/>
  <c r="AH20" i="16"/>
  <c r="M20" i="17"/>
  <c r="Q20" i="11"/>
  <c r="AL20" i="11"/>
  <c r="AG20" i="17"/>
  <c r="AO20" i="11"/>
  <c r="BD19" i="13" l="1"/>
  <c r="BE19" i="13"/>
  <c r="AA18" i="16"/>
  <c r="Q19" i="16"/>
  <c r="AM19" i="16"/>
  <c r="AW19" i="16"/>
  <c r="D13" i="2"/>
  <c r="E13" i="6"/>
  <c r="AO13" i="11"/>
  <c r="AO21" i="11" s="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BM19" i="11"/>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BD19" i="8" l="1"/>
  <c r="V19" i="16"/>
  <c r="BG19" i="11"/>
  <c r="I19" i="3"/>
  <c r="G19" i="3"/>
  <c r="BV21" i="16"/>
  <c r="BV19" i="16"/>
  <c r="F21" i="11"/>
  <c r="Q13" i="11"/>
  <c r="BG19" i="8"/>
  <c r="H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K19" i="12"/>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<sst xmlns="http://schemas.openxmlformats.org/spreadsheetml/2006/main" count="2094" uniqueCount="913">
  <si>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</si>
  <si>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</si>
  <si>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</si>
  <si>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</si>
  <si>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</si>
  <si>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</si>
  <si>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</si>
  <si>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</si>
  <si>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</si>
  <si>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</si>
  <si>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</si>
  <si>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</si>
  <si>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</si>
  <si>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</si>
  <si>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</si>
  <si>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</si>
  <si>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</si>
  <si>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</si>
  <si>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</si>
  <si>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</si>
  <si>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</si>
  <si>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</si>
  <si>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</si>
  <si>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</si>
  <si>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</si>
  <si>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</si>
  <si>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</si>
  <si>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</si>
  <si>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</si>
  <si>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</si>
  <si>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</si>
  <si>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</si>
  <si>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</si>
  <si>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</si>
  <si>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</si>
  <si>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</si>
  <si>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</si>
  <si>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</si>
  <si>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</si>
  <si>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</si>
  <si>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</si>
  <si>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</si>
  <si>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</si>
  <si>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</si>
  <si>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</si>
  <si>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</si>
  <si>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</si>
  <si>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</si>
  <si>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</si>
  <si>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</si>
  <si>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</si>
  <si>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</si>
  <si>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</si>
  <si>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</si>
  <si>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</si>
  <si>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</si>
  <si>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</si>
  <si>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</si>
  <si>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</si>
  <si>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</si>
  <si>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</si>
  <si>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</si>
  <si>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</si>
  <si>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</si>
  <si>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</si>
  <si>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</si>
  <si>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</si>
  <si>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</si>
  <si>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</si>
  <si>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</si>
  <si>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</si>
  <si>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</si>
  <si>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</si>
  <si>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</si>
  <si>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</si>
  <si>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</si>
  <si>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</si>
  <si>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</si>
  <si>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</si>
  <si>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</si>
  <si>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</si>
  <si>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</si>
  <si>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</si>
  <si>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</si>
  <si>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</si>
  <si>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</si>
  <si>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</si>
  <si>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</si>
  <si>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</si>
  <si>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</si>
  <si>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</si>
  <si>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</si>
  <si>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</si>
  <si>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</si>
  <si>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</si>
  <si>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</si>
  <si>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</si>
  <si>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</si>
  <si>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</si>
  <si>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</si>
  <si>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</si>
  <si>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</si>
  <si>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</si>
  <si>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</si>
  <si>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</si>
  <si>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</si>
  <si>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</si>
  <si>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</si>
  <si>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</si>
  <si>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</si>
  <si>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</si>
  <si>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</si>
  <si>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</si>
  <si>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</si>
  <si>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</si>
  <si>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</si>
  <si>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</si>
  <si>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</si>
  <si>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</si>
  <si>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</si>
  <si>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</si>
  <si>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</si>
  <si>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</si>
  <si>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</si>
  <si>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</si>
  <si>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</si>
  <si>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</si>
  <si>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</si>
  <si>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</si>
  <si>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</si>
  <si>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</si>
  <si>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</si>
  <si>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</si>
  <si>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</si>
  <si>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</si>
  <si>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</si>
  <si>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</si>
  <si>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</si>
  <si>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</si>
  <si>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</si>
  <si>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</si>
  <si>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</si>
  <si>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</si>
  <si>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</si>
  <si>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</si>
  <si>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</si>
  <si>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</si>
  <si>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</si>
  <si>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</si>
  <si>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</si>
  <si>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</si>
  <si>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</si>
  <si>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</si>
  <si>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</si>
  <si>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</si>
  <si>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</si>
  <si>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</si>
  <si>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</si>
  <si>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</si>
  <si>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</si>
  <si>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</si>
  <si>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</si>
  <si>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</si>
  <si>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</si>
  <si>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</si>
  <si>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</si>
  <si>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</si>
  <si>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</si>
  <si>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</si>
  <si>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</si>
  <si>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</si>
  <si>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</si>
  <si>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</si>
  <si>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</si>
  <si>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</si>
  <si>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</si>
  <si>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</si>
  <si>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</si>
  <si>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</si>
  <si>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</si>
  <si>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</si>
  <si>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</si>
  <si>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</si>
  <si>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</si>
  <si>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</si>
  <si>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</si>
  <si>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</si>
  <si>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</si>
  <si>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</si>
  <si>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</si>
  <si>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</si>
  <si>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</si>
  <si>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</si>
  <si>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</si>
  <si>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</si>
  <si>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</si>
  <si>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</si>
  <si>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</si>
  <si>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</si>
  <si>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</si>
  <si>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</si>
  <si>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</si>
  <si>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</si>
  <si>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</si>
  <si>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</si>
  <si>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</si>
  <si>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</si>
  <si>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</si>
  <si>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</si>
  <si>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</si>
  <si>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</si>
  <si>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</si>
  <si>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</si>
  <si>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</si>
  <si>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</si>
  <si>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</si>
  <si>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</si>
  <si>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</si>
  <si>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</si>
  <si>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</si>
  <si>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</si>
  <si>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</si>
  <si>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</si>
  <si>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</si>
  <si>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</si>
  <si>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</si>
  <si>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</si>
  <si>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</si>
  <si>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</si>
  <si>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</si>
  <si>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</si>
  <si>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</si>
  <si>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</si>
  <si>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</si>
  <si>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</si>
  <si>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</si>
  <si>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</si>
  <si>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</si>
  <si>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</si>
  <si>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</si>
  <si>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</si>
  <si>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</si>
  <si>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</si>
  <si>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</si>
  <si>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</si>
  <si>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</si>
  <si>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</si>
  <si>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</si>
  <si>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</si>
  <si>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</si>
  <si>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</si>
  <si>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</si>
  <si>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</si>
  <si>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</si>
  <si>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</si>
  <si>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</si>
  <si>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</si>
  <si>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</si>
  <si>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</si>
  <si>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</si>
  <si>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</si>
  <si>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</si>
  <si>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</si>
  <si>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</si>
  <si>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</si>
  <si>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</si>
  <si>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</si>
  <si>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</si>
  <si>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</si>
  <si>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</si>
  <si>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</si>
  <si>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</si>
  <si>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</si>
  <si>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</si>
  <si>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</si>
  <si>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</si>
  <si>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</si>
  <si>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</si>
  <si>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</si>
  <si>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</si>
  <si>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</si>
  <si>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</si>
  <si>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</si>
  <si>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</si>
  <si>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</si>
  <si>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</si>
  <si>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</si>
  <si>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</si>
  <si>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</si>
  <si>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</si>
  <si>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</si>
  <si>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</si>
  <si>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</si>
  <si>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</si>
  <si>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</si>
  <si>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</si>
  <si>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</si>
  <si>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</si>
  <si>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</si>
  <si>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</si>
  <si>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</si>
  <si>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</si>
  <si>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</si>
  <si>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</si>
  <si>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</si>
  <si>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</si>
  <si>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</si>
  <si>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</si>
  <si>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</si>
  <si>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</si>
  <si>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</si>
  <si>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</si>
  <si>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</si>
  <si>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</si>
  <si>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</si>
  <si>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</si>
  <si>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</si>
  <si>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</si>
  <si>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</si>
  <si>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</si>
  <si>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</si>
  <si>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</si>
  <si>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</si>
  <si>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</si>
  <si>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</si>
  <si>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</si>
  <si>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</si>
  <si>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</si>
  <si>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</si>
  <si>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</si>
  <si>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</si>
  <si>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</si>
  <si>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</si>
  <si>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</si>
  <si>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</si>
  <si>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</si>
  <si>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</si>
  <si>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</si>
  <si>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</si>
  <si>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</si>
  <si>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</si>
  <si>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</si>
  <si>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</si>
  <si>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</si>
  <si>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</si>
  <si>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</si>
  <si>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</si>
  <si>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</si>
  <si>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</si>
  <si>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</si>
  <si>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</si>
  <si>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</si>
  <si>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</si>
  <si>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</si>
  <si>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</si>
  <si>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</si>
  <si>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</si>
  <si>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</si>
  <si>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</si>
  <si>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</si>
  <si>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</si>
  <si>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</si>
  <si>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</si>
  <si>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</si>
  <si>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</si>
  <si>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</si>
  <si>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</si>
  <si>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</si>
  <si>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</si>
  <si>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</si>
  <si>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</si>
  <si>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</si>
  <si>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</si>
  <si>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</si>
  <si>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</si>
  <si>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</si>
  <si>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</si>
  <si>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</si>
  <si>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</si>
  <si>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</si>
  <si>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</si>
  <si>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</si>
  <si>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</si>
  <si>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</si>
  <si>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</si>
  <si>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</si>
  <si>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</si>
  <si>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</si>
  <si>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</si>
  <si>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</si>
  <si>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</si>
  <si>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</si>
  <si>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</si>
  <si>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</si>
  <si>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</si>
  <si>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</si>
  <si>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</si>
  <si>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</si>
  <si>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</si>
  <si>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</si>
  <si>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</si>
  <si>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</si>
  <si>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</si>
  <si>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</si>
  <si>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</si>
  <si>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</si>
  <si>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</si>
  <si>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</si>
  <si>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</si>
  <si>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</si>
  <si>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</si>
  <si>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</si>
  <si>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</si>
  <si>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</si>
  <si>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</si>
  <si>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</si>
  <si>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</si>
  <si>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</si>
  <si>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</si>
  <si>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</si>
  <si>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</si>
  <si>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</si>
  <si>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</si>
  <si>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</si>
  <si>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</si>
  <si>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</si>
  <si>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</si>
  <si>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</si>
  <si>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</si>
  <si>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</si>
  <si>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</si>
  <si>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</si>
  <si>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</si>
  <si>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</si>
  <si>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</si>
  <si>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</si>
  <si>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</si>
  <si>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</si>
  <si>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</si>
  <si>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</si>
  <si>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</si>
  <si>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</si>
  <si>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</si>
  <si>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</si>
  <si>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</si>
  <si>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</si>
  <si>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</si>
  <si>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</si>
  <si>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</si>
  <si>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</si>
  <si>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</si>
  <si>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</si>
  <si>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</si>
  <si>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</si>
  <si>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</si>
  <si>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</si>
  <si>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</si>
  <si>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</si>
  <si>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</si>
  <si>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</si>
  <si>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</si>
  <si>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</si>
  <si>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</si>
  <si>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</si>
  <si>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</si>
  <si>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</si>
  <si>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</si>
  <si>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</si>
  <si>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</si>
  <si>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</si>
  <si>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</si>
  <si>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</si>
  <si>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</si>
  <si>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</si>
  <si>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</si>
  <si>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</si>
  <si>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</si>
  <si>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</si>
  <si>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</si>
  <si>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</si>
  <si>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</si>
  <si>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</si>
  <si>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</si>
  <si>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</si>
  <si>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</si>
  <si>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</si>
  <si>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</si>
  <si>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</si>
  <si>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</si>
  <si>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</si>
  <si>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</si>
  <si>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</si>
  <si>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</si>
  <si>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</si>
  <si>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</si>
  <si>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</si>
  <si>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</si>
  <si>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</si>
  <si>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</si>
  <si>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</si>
  <si>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</si>
  <si>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</si>
  <si>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</si>
  <si>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</si>
  <si>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</si>
  <si>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</si>
  <si>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</si>
  <si>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</si>
  <si>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</si>
  <si>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</si>
  <si>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</si>
  <si>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</si>
  <si>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</si>
  <si>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</si>
  <si>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</si>
  <si>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</si>
  <si>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</si>
  <si>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</si>
  <si>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</si>
  <si>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</si>
  <si>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</si>
  <si>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</si>
  <si>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</si>
  <si>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</si>
  <si>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</si>
  <si>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</si>
  <si>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</si>
  <si>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</si>
  <si>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</si>
  <si>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</si>
  <si>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</si>
  <si>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</si>
  <si>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</si>
  <si>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</si>
  <si>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</si>
  <si>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</si>
  <si>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</si>
  <si>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</si>
  <si>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</si>
  <si>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</si>
  <si>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</si>
  <si>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</si>
  <si>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</si>
  <si>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</si>
  <si>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</si>
  <si>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</si>
  <si>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</si>
  <si>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</si>
  <si>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</si>
  <si>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</si>
  <si>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</si>
  <si>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</si>
  <si>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</si>
  <si>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</si>
  <si>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</si>
  <si>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</si>
  <si>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</si>
  <si>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</si>
  <si>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</si>
  <si>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</si>
  <si>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</si>
  <si>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</si>
  <si>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</si>
  <si>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</si>
  <si>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</si>
  <si>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</si>
  <si>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</si>
  <si>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</si>
  <si>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</si>
  <si>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</si>
  <si>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</si>
  <si>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</si>
  <si>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</si>
  <si>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</si>
  <si>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</si>
  <si>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</si>
  <si>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</si>
  <si>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</si>
  <si>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</si>
  <si>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</si>
  <si>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</si>
  <si>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</si>
  <si>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</si>
  <si>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</si>
  <si>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</si>
  <si>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</si>
  <si>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</si>
  <si>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</si>
  <si>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</si>
  <si>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</si>
  <si>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</si>
  <si>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</si>
  <si>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</si>
  <si>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</si>
  <si>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</si>
  <si>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</si>
  <si>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</si>
  <si>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</si>
  <si>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</si>
  <si>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</si>
  <si>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</si>
  <si>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</si>
  <si>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</si>
  <si>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</si>
  <si>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</si>
  <si>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</si>
  <si>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</si>
  <si>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</si>
  <si>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</si>
  <si>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</si>
  <si>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</si>
  <si>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</si>
  <si>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</si>
  <si>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</si>
  <si>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</si>
  <si>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</si>
  <si>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</si>
  <si>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</si>
  <si>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</si>
  <si>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</si>
  <si>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</si>
  <si>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</si>
  <si>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</si>
  <si>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</si>
  <si>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</si>
  <si>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</si>
  <si>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</si>
  <si>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</si>
  <si>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</si>
  <si>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</si>
  <si>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</si>
  <si>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</si>
  <si>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</si>
  <si>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</si>
  <si>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</si>
  <si>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</si>
  <si>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</si>
  <si>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</si>
  <si>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</si>
  <si>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</si>
  <si>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</si>
  <si>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</si>
  <si>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</si>
  <si>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</si>
  <si>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</si>
  <si>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</si>
  <si>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</si>
  <si>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</si>
  <si>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</si>
  <si>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</si>
  <si>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</si>
  <si>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</si>
  <si>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</si>
  <si>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</si>
  <si>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</si>
  <si>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</si>
  <si>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</si>
  <si>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</si>
  <si>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</si>
  <si>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</si>
  <si>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</si>
  <si>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</si>
  <si>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</si>
  <si>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</si>
  <si>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</si>
  <si>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</si>
  <si>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</si>
  <si>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</si>
  <si>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</si>
  <si>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</si>
  <si>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</si>
  <si>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</si>
  <si>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</si>
  <si>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</si>
  <si>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</si>
  <si>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</si>
  <si>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</si>
  <si>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</si>
  <si>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</si>
  <si>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</si>
  <si>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</si>
  <si>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</si>
  <si>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</si>
  <si>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</si>
  <si>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</si>
  <si>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</si>
  <si>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</si>
  <si>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</si>
  <si>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</si>
  <si>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</si>
  <si>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</si>
  <si>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</si>
  <si>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</si>
  <si>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</si>
  <si>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</si>
  <si>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</si>
  <si>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</si>
  <si>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</si>
  <si>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</si>
  <si>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</si>
  <si>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</si>
  <si>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</si>
  <si>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</si>
  <si>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</si>
  <si>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</si>
  <si>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</si>
  <si>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</si>
  <si>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</si>
  <si>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</si>
  <si>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</si>
  <si>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</si>
  <si>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</si>
  <si>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</si>
  <si>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</si>
  <si>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</si>
  <si>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</si>
  <si>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</si>
  <si>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</si>
  <si>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</si>
  <si>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</si>
  <si>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</si>
  <si>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</si>
  <si>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</si>
  <si>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</si>
  <si>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</si>
  <si>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</si>
  <si>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</si>
  <si>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</si>
  <si>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</si>
  <si>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</si>
  <si>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</si>
  <si>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</si>
  <si>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</si>
  <si>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</si>
  <si>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</si>
  <si>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</si>
  <si>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</si>
  <si>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</si>
  <si>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</si>
  <si>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</si>
  <si>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</si>
  <si>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</si>
  <si>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</si>
  <si>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</si>
  <si>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</si>
  <si>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</si>
  <si>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</si>
  <si>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</si>
  <si>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</si>
  <si>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</si>
  <si>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</si>
  <si>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</si>
  <si>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</si>
  <si>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</si>
  <si>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</si>
  <si>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</si>
  <si>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</si>
  <si>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</si>
  <si>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</si>
  <si>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</si>
  <si>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</si>
  <si>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</si>
  <si>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</si>
  <si>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</si>
  <si>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</si>
  <si>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</si>
  <si>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</si>
  <si>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</si>
  <si>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</si>
  <si>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</si>
  <si>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</si>
  <si>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</si>
  <si>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</si>
  <si>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</si>
  <si>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</si>
  <si>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</si>
  <si>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</si>
  <si>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</si>
  <si>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</si>
  <si>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</si>
  <si>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</si>
  <si>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</si>
  <si>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</si>
  <si>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</si>
  <si>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</si>
  <si>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</si>
  <si>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</si>
  <si>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</si>
  <si>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</si>
  <si>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</si>
  <si>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</si>
  <si>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</si>
  <si>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</si>
  <si>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</si>
  <si>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</si>
  <si>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</si>
  <si>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</si>
  <si>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</si>
  <si>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</si>
  <si>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</si>
  <si>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</si>
  <si>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</si>
  <si>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</si>
  <si>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</si>
  <si>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</si>
  <si>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</si>
  <si>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</si>
  <si>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</si>
  <si>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</si>
  <si>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</si>
  <si>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</si>
  <si>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</si>
  <si>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</si>
  <si>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</si>
  <si>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</si>
  <si>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</si>
  <si>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</si>
  <si>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</si>
  <si>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</si>
  <si>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</si>
  <si>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</si>
  <si>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</si>
  <si>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</si>
  <si>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</si>
  <si>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</si>
  <si>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</si>
  <si>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</si>
  <si>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</si>
  <si>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</si>
  <si>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</si>
  <si>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</si>
  <si>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</si>
  <si>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</si>
  <si>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</si>
  <si>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</si>
  <si>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</si>
  <si>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</si>
  <si>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</si>
  <si>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</si>
  <si>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</si>
  <si>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</si>
  <si>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</si>
  <si>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</si>
  <si>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</si>
  <si>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</si>
  <si>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</si>
  <si>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</si>
  <si>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</si>
  <si>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</si>
  <si>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</si>
  <si>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</si>
  <si>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</si>
  <si>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</si>
  <si>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</si>
  <si>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</si>
  <si>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</si>
  <si>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</si>
  <si>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</si>
  <si>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</si>
  <si>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</si>
  <si>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</si>
  <si>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</si>
  <si>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</si>
  <si>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</si>
  <si>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</si>
  <si>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</si>
  <si>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</si>
  <si>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</si>
  <si>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</si>
  <si>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</si>
  <si>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</si>
  <si>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</si>
  <si>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</si>
  <si>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</si>
  <si>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</si>
  <si>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</si>
  <si>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</si>
  <si>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</si>
  <si>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</si>
  <si>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</si>
  <si>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</si>
  <si>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</si>
  <si>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</si>
  <si>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</si>
  <si>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</si>
  <si>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</si>
  <si>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</si>
  <si>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</si>
  <si>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</si>
  <si>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</si>
  <si>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</si>
  <si>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</si>
  <si>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</si>
  <si>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</si>
  <si>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</si>
  <si>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</si>
  <si>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</si>
  <si>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</si>
  <si>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</si>
  <si>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</si>
  <si>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</si>
  <si>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</si>
  <si>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</si>
  <si>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</si>
  <si>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</si>
  <si>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</si>
  <si>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Fecha Informe: 29 nov. 2023</t>
  </si>
  <si>
    <t>Tribunales de Justicia</t>
  </si>
  <si>
    <t>EXTREMADURA</t>
  </si>
  <si>
    <t>Provincias</t>
  </si>
  <si>
    <t>BADAJOZ</t>
  </si>
  <si>
    <t>Resumenes por Partidos Judiciales</t>
  </si>
  <si>
    <t>MERIDA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</si>
</sst>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applyAlignment="1"/>
    <xf numFmtId="0" fontId="16" fillId="0" borderId="0" xfId="0" applyFont="1" applyBorder="1" applyAlignment="1">
      <alignment horizontal="left"/>
    </xf>
    <xf numFmtId="0" fontId="16" fillId="0" borderId="62" xfId="0" applyFont="1" applyBorder="1" applyAlignment="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0</v>
      </c>
    </row>
    <row r="5" spans="1:19" ht="15.75" thickBot="1">
      <c r="A5" s="377" t="s">
        <v>37</v>
      </c>
      <c r="B5" s="378">
        <v>2023</v>
      </c>
      <c r="C5" s="379" t="s">
        <v>218</v>
      </c>
      <c r="D5" s="380">
        <v>3</v>
      </c>
      <c r="E5" s="381"/>
      <c r="F5" s="3"/>
      <c r="H5" t="s">
        <v>428</v>
      </c>
      <c r="Q5" s="355">
        <v>3</v>
      </c>
      <c r="R5" s="355">
        <v>2</v>
      </c>
      <c r="S5" t="b">
        <f>AND(Q5&gt;=TrimIni,Q5&lt;=TrimFin)</f>
        <v>1</v>
      </c>
    </row>
    <row r="6" spans="1:19" ht="15">
      <c r="A6" s="382"/>
      <c r="B6" s="381"/>
      <c r="C6" s="379" t="s">
        <v>219</v>
      </c>
      <c r="D6" s="380">
        <v>3</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5.5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VRdXtKcOn7AHEWyJAqlWQ/LQxBVovJk9m4h5yWf7LGXS5xaU57sdVUndgr/fWgwVQRK7XhFptCu5q1NW4uTuHQ==" saltValue="SqANuhcGfCZFnkcrFA+ux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EXTREMADURA</v>
      </c>
      <c r="C4" s="1243"/>
      <c r="D4" s="1243"/>
      <c r="E4" s="1244"/>
      <c r="F4" s="1243"/>
      <c r="G4" s="590"/>
      <c r="H4" s="1496" t="s">
        <v>364</v>
      </c>
      <c r="I4" s="1497"/>
      <c r="J4" s="1497"/>
      <c r="K4" s="1497"/>
      <c r="L4" s="1497"/>
      <c r="M4" s="1245"/>
      <c r="N4" s="1496" t="s">
        <v>365</v>
      </c>
      <c r="O4" s="1497"/>
      <c r="P4" s="1497"/>
      <c r="Q4" s="1497"/>
      <c r="R4" s="1497"/>
      <c r="S4" s="1497"/>
      <c r="T4" s="1497"/>
      <c r="U4" s="1497"/>
      <c r="V4" s="1497"/>
      <c r="W4" s="1497"/>
      <c r="X4" s="1497"/>
      <c r="Y4" s="1497"/>
      <c r="Z4" s="1497"/>
      <c r="AA4" s="1497"/>
      <c r="AB4" s="1497"/>
      <c r="AC4" s="1497"/>
      <c r="AD4" s="1498"/>
    </row>
    <row r="5" spans="1:31" s="488" customFormat="1" ht="15.75" customHeight="1">
      <c r="A5" s="1510" t="s">
        <v>354</v>
      </c>
      <c r="B5" s="1512" t="str">
        <f>"Año:  " &amp;Criterios!B5 &amp; "      Trimestre   " &amp;Criterios!D5 &amp; " al " &amp;Criterios!D6</f>
        <v>Año:  2023      Trimestre   3 al 3</v>
      </c>
      <c r="C5" s="1516" t="s">
        <v>264</v>
      </c>
      <c r="D5" s="1518" t="s">
        <v>128</v>
      </c>
      <c r="E5" s="1518" t="s">
        <v>92</v>
      </c>
      <c r="F5" s="1520" t="s">
        <v>9</v>
      </c>
      <c r="G5" s="1502"/>
      <c r="H5" s="1499" t="s">
        <v>359</v>
      </c>
      <c r="I5" s="1522" t="s">
        <v>361</v>
      </c>
      <c r="J5" s="1499" t="s">
        <v>360</v>
      </c>
      <c r="K5" s="1501" t="s">
        <v>305</v>
      </c>
      <c r="L5" s="1501" t="s">
        <v>362</v>
      </c>
      <c r="M5" s="1501" t="s">
        <v>356</v>
      </c>
      <c r="N5" s="1486"/>
      <c r="O5" s="1487"/>
      <c r="P5" s="531"/>
      <c r="Q5" s="1490" t="s">
        <v>456</v>
      </c>
      <c r="R5" s="1491"/>
      <c r="S5" s="1492"/>
      <c r="T5" s="1504"/>
      <c r="U5" s="1505"/>
      <c r="V5" s="1506"/>
      <c r="W5" s="1490" t="s">
        <v>275</v>
      </c>
      <c r="X5" s="1491"/>
      <c r="Y5" s="1491"/>
      <c r="Z5" s="1492"/>
      <c r="AA5" s="1490" t="s">
        <v>451</v>
      </c>
      <c r="AB5" s="1491"/>
      <c r="AC5" s="1491"/>
      <c r="AD5" s="1492"/>
    </row>
    <row r="6" spans="1:31" s="488" customFormat="1" ht="21.75" customHeight="1" thickBot="1">
      <c r="A6" s="1511"/>
      <c r="B6" s="1513"/>
      <c r="C6" s="1517"/>
      <c r="D6" s="1519"/>
      <c r="E6" s="1519"/>
      <c r="F6" s="1521"/>
      <c r="G6" s="1502"/>
      <c r="H6" s="1500"/>
      <c r="I6" s="1523"/>
      <c r="J6" s="1500"/>
      <c r="K6" s="1502"/>
      <c r="L6" s="1502"/>
      <c r="M6" s="1502"/>
      <c r="N6" s="1488"/>
      <c r="O6" s="1489"/>
      <c r="P6" s="1246"/>
      <c r="Q6" s="1493"/>
      <c r="R6" s="1494"/>
      <c r="S6" s="1495"/>
      <c r="T6" s="1507"/>
      <c r="U6" s="1508"/>
      <c r="V6" s="1509"/>
      <c r="W6" s="1493"/>
      <c r="X6" s="1494"/>
      <c r="Y6" s="1494"/>
      <c r="Z6" s="1495"/>
      <c r="AA6" s="1493"/>
      <c r="AB6" s="1494"/>
      <c r="AC6" s="1494"/>
      <c r="AD6" s="1495"/>
    </row>
    <row r="7" spans="1:31" s="488" customFormat="1" ht="84" customHeight="1">
      <c r="A7" s="1511"/>
      <c r="B7" s="1247" t="str">
        <f>Datos!A7</f>
        <v>COMPETENCIAS</v>
      </c>
      <c r="C7" s="1517"/>
      <c r="D7" s="1519"/>
      <c r="E7" s="1519"/>
      <c r="F7" s="1521"/>
      <c r="G7" s="1502"/>
      <c r="H7" s="1500"/>
      <c r="I7" s="1523"/>
      <c r="J7" s="1500"/>
      <c r="K7" s="1502"/>
      <c r="L7" s="1502"/>
      <c r="M7" s="1503"/>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514" t="str">
        <f>Datos!A8</f>
        <v>Jurisdicción Civil ( 1 ):</v>
      </c>
      <c r="B8" s="151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14</v>
      </c>
      <c r="D10" s="229">
        <f>IF(ISNUMBER(Datos!I10),Datos!I10," - ")</f>
        <v>14</v>
      </c>
      <c r="E10" s="230">
        <f>IF(ISNUMBER(Datos!J10),Datos!J10," - ")</f>
        <v>4</v>
      </c>
      <c r="F10" s="230">
        <f>IF(ISNUMBER(Datos!K10),Datos!K10," - ")</f>
        <v>4</v>
      </c>
      <c r="G10" s="1189" t="str">
        <f>IF(Datos!E10&lt;&gt;"",Datos!E10,Datos!D10)</f>
        <v>37</v>
      </c>
      <c r="H10" s="231">
        <f>IF(ISNUMBER(Datos!L10),Datos!L10," - ")</f>
        <v>14</v>
      </c>
      <c r="I10" s="1199" t="str">
        <f>IF(ISNUMBER(Datos!AS10/Datos!BM10),Datos!AS10/Datos!BM10," - ")</f>
        <v xml:space="preserve"> - </v>
      </c>
      <c r="J10" s="1200">
        <f>IF(ISNUMBER(Datos!BY10/Datos!CN10),Datos!BY10/Datos!CN10," - ")</f>
        <v>0</v>
      </c>
      <c r="K10" s="234">
        <f t="shared" ref="K10:K12" si="1">IF(ISNUMBER((E10-F10)/C10),(E10-F10)/C10," - ")</f>
        <v>0</v>
      </c>
      <c r="L10" s="1201">
        <f>IF(ISNUMBER(NºAsuntos!I10/NºAsuntos!G10),(NºAsuntos!I10/NºAsuntos!G10)*11," - ")</f>
        <v>38.5</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5</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25.086734693877553</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14</v>
      </c>
      <c r="D13" s="1206">
        <f>SUBTOTAL(9,D9:D12)</f>
        <v>14</v>
      </c>
      <c r="E13" s="1207">
        <f>SUBTOTAL(9,E9:E12)</f>
        <v>4</v>
      </c>
      <c r="F13" s="1208">
        <f>SUBTOTAL(9,F9:F12)</f>
        <v>4</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514" t="str">
        <f>Datos!A14</f>
        <v xml:space="preserve">Jurisdicción Penal ( 2 ):                      </v>
      </c>
      <c r="B14" s="151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5</v>
      </c>
      <c r="B16" s="1254" t="str">
        <f>Datos!A16</f>
        <v xml:space="preserve">Jdos. 1ª Instª. e Instr.                        </v>
      </c>
      <c r="C16" s="229">
        <f t="shared" si="2"/>
        <v>1467</v>
      </c>
      <c r="D16" s="229">
        <f>IF(ISNUMBER(IF(D_I="SI",Datos!I16,Datos!I16+Datos!AC16)),IF(D_I="SI",Datos!I16,Datos!I16+Datos!AC16)," - ")</f>
        <v>1459</v>
      </c>
      <c r="E16" s="230">
        <f>IF(ISNUMBER(IF(D_I="SI",Datos!J16,Datos!J16+Datos!AD16)),IF(D_I="SI",Datos!J16,Datos!J16+Datos!AD16)," - ")</f>
        <v>1064</v>
      </c>
      <c r="F16" s="230">
        <f>IF(ISNUMBER(IF(D_I="SI",Datos!K16,Datos!K16+Datos!AE16)),IF(D_I="SI",Datos!K16,Datos!K16+Datos!AE16)," - ")</f>
        <v>954</v>
      </c>
      <c r="G16" s="1189" t="str">
        <f>IF(Datos!E16&lt;&gt;"",Datos!E16,Datos!D16)</f>
        <v>04</v>
      </c>
      <c r="H16" s="231">
        <f>IF(ISNUMBER(IF(D_I="SI",Datos!L16,Datos!L16+Datos!AF16)),IF(D_I="SI",Datos!L16,Datos!L16+Datos!AF16)," - ")</f>
        <v>1577</v>
      </c>
      <c r="I16" s="1199" t="str">
        <f>IF(ISNUMBER(Datos!AS16/Datos!BM16),Datos!AS16/Datos!BM16," - ")</f>
        <v xml:space="preserve"> - </v>
      </c>
      <c r="J16" s="1200">
        <f>IF(ISNUMBER(Datos!BY16/Datos!CN16),Datos!BY16/Datos!CN16," - ")</f>
        <v>0</v>
      </c>
      <c r="K16" s="234">
        <f t="shared" si="3"/>
        <v>7.4982958418541246E-2</v>
      </c>
      <c r="L16" s="1201">
        <f>IF(ISNUMBER(NºAsuntos!I16/NºAsuntos!G16),(NºAsuntos!I16/NºAsuntos!G16)*11," - ")</f>
        <v>18.183438155136265</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264</v>
      </c>
      <c r="D17" s="229">
        <f>IF(ISNUMBER(IF(D_I="SI",Datos!I17,Datos!I17+Datos!AC17)),IF(D_I="SI",Datos!I17,Datos!I17+Datos!AC17)," - ")</f>
        <v>264</v>
      </c>
      <c r="E17" s="230">
        <f>IF(ISNUMBER(IF(D_I="SI",Datos!J17,Datos!J17+Datos!AD17)),IF(D_I="SI",Datos!J17,Datos!J17+Datos!AD17)," - ")</f>
        <v>91</v>
      </c>
      <c r="F17" s="230">
        <f>IF(ISNUMBER(IF(D_I="SI",Datos!K17,Datos!K17+Datos!AE17)),IF(D_I="SI",Datos!K17,Datos!K17+Datos!AE17)," - ")</f>
        <v>135</v>
      </c>
      <c r="G17" s="1189" t="str">
        <f>IF(Datos!E17&lt;&gt;"",Datos!E17,Datos!D17)</f>
        <v>37</v>
      </c>
      <c r="H17" s="231">
        <f>IF(ISNUMBER(IF(D_I="SI",Datos!L17,Datos!L17+Datos!AF17)),IF(D_I="SI",Datos!L17,Datos!L17+Datos!AF17)," - ")</f>
        <v>220</v>
      </c>
      <c r="I17" s="1199" t="str">
        <f>IF(ISNUMBER(Datos!AS17/Datos!BM17),Datos!AS17/Datos!BM17," - ")</f>
        <v xml:space="preserve"> - </v>
      </c>
      <c r="J17" s="1200" t="str">
        <f>IF(ISNUMBER((Datos!BY17+Datos!BZ17)/Datos!CN17),(Datos!BY17+Datos!BZ17)/Datos!CN17," - ")</f>
        <v xml:space="preserve"> - </v>
      </c>
      <c r="K17" s="234">
        <f t="shared" si="3"/>
        <v>-0.16666666666666666</v>
      </c>
      <c r="L17" s="1201">
        <f>IF(ISNUMBER(NºAsuntos!I17/NºAsuntos!G17),(NºAsuntos!I17/NºAsuntos!G17)*11," - ")</f>
        <v>17.925925925925924</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1731</v>
      </c>
      <c r="D18" s="1206">
        <f>SUBTOTAL(9,D15:D17)</f>
        <v>1723</v>
      </c>
      <c r="E18" s="1207">
        <f>SUBTOTAL(9,E15:E17)</f>
        <v>1155</v>
      </c>
      <c r="F18" s="1207">
        <f>SUBTOTAL(9,F15:F17)</f>
        <v>1089</v>
      </c>
      <c r="G18" s="1209" t="str">
        <f ca="1">INDIRECT(CONCATENATE("G",ROW()-1))</f>
        <v>37</v>
      </c>
      <c r="H18" s="1210">
        <f ca="1">SUMIF(G$14:G17,G18,H$14:H17)</f>
        <v>220</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1745</v>
      </c>
      <c r="D19" s="1228">
        <f>SUBTOTAL(9,D9:D18)</f>
        <v>1737</v>
      </c>
      <c r="E19" s="1229">
        <f>SUBTOTAL(9,E9:E18)</f>
        <v>1159</v>
      </c>
      <c r="F19" s="1229">
        <f>SUBTOTAL(9,F9:F18)</f>
        <v>1093</v>
      </c>
      <c r="G19" s="1230"/>
      <c r="H19" s="1231">
        <f ca="1">SUMIF(B9:B18,"TOTAL",H9:H18)</f>
        <v>220</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29 nov.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485" t="s">
        <v>639</v>
      </c>
      <c r="O25" s="1485"/>
      <c r="P25" s="1485"/>
      <c r="Q25" s="1485"/>
      <c r="R25" s="1485"/>
      <c r="S25" s="1485"/>
      <c r="T25" s="1485"/>
      <c r="U25" s="1485"/>
      <c r="V25" s="1485"/>
      <c r="W25" s="1485"/>
      <c r="Y25" s="1485" t="s">
        <v>640</v>
      </c>
      <c r="Z25" s="1485"/>
      <c r="AA25" s="1485"/>
      <c r="AB25" s="1485"/>
      <c r="AC25" s="1485"/>
    </row>
    <row r="27" spans="1:31">
      <c r="N27" s="1185" t="s">
        <v>641</v>
      </c>
      <c r="O27" s="1480" t="s">
        <v>642</v>
      </c>
      <c r="P27" s="1480"/>
      <c r="Q27" s="1480"/>
      <c r="R27" s="1480"/>
      <c r="S27" s="1480"/>
      <c r="T27" s="1480"/>
      <c r="U27" s="1480"/>
      <c r="V27" s="1480"/>
      <c r="W27" s="1480"/>
      <c r="Y27" s="1185" t="s">
        <v>641</v>
      </c>
      <c r="Z27" s="1483" t="s">
        <v>643</v>
      </c>
      <c r="AA27" s="1483"/>
      <c r="AB27" s="1483"/>
      <c r="AC27" s="1483"/>
    </row>
    <row r="28" spans="1:31">
      <c r="N28" s="1185" t="s">
        <v>644</v>
      </c>
      <c r="O28" s="1480" t="s">
        <v>645</v>
      </c>
      <c r="P28" s="1480"/>
      <c r="Q28" s="1480"/>
      <c r="R28" s="1480"/>
      <c r="S28" s="1480"/>
      <c r="T28" s="1480"/>
      <c r="U28" s="1480"/>
      <c r="V28" s="1480"/>
      <c r="W28" s="1480"/>
      <c r="Y28" s="1185" t="s">
        <v>644</v>
      </c>
      <c r="Z28" s="1483" t="s">
        <v>646</v>
      </c>
      <c r="AA28" s="1483"/>
      <c r="AB28" s="1483"/>
      <c r="AC28" s="1483"/>
    </row>
    <row r="29" spans="1:31">
      <c r="N29" s="1185" t="s">
        <v>647</v>
      </c>
      <c r="O29" s="1480" t="s">
        <v>648</v>
      </c>
      <c r="P29" s="1480"/>
      <c r="Q29" s="1480"/>
      <c r="R29" s="1480"/>
      <c r="S29" s="1480"/>
      <c r="T29" s="1480"/>
      <c r="U29" s="1480"/>
      <c r="V29" s="1480"/>
      <c r="W29" s="1480"/>
      <c r="Y29" s="1185" t="s">
        <v>649</v>
      </c>
      <c r="Z29" s="1483" t="s">
        <v>650</v>
      </c>
      <c r="AA29" s="1483"/>
      <c r="AB29" s="1483"/>
      <c r="AC29" s="1483"/>
    </row>
    <row r="30" spans="1:31">
      <c r="N30" s="1185" t="s">
        <v>651</v>
      </c>
      <c r="O30" s="1480" t="s">
        <v>652</v>
      </c>
      <c r="P30" s="1480"/>
      <c r="Q30" s="1480"/>
      <c r="R30" s="1480"/>
      <c r="S30" s="1480"/>
      <c r="T30" s="1480"/>
      <c r="U30" s="1480"/>
      <c r="V30" s="1480"/>
      <c r="W30" s="1480"/>
      <c r="Y30" s="1185" t="s">
        <v>653</v>
      </c>
      <c r="Z30" s="1483" t="s">
        <v>654</v>
      </c>
      <c r="AA30" s="1483"/>
      <c r="AB30" s="1483"/>
      <c r="AC30" s="1483"/>
    </row>
    <row r="31" spans="1:31">
      <c r="N31" s="1185" t="s">
        <v>739</v>
      </c>
      <c r="O31" s="1480" t="s">
        <v>740</v>
      </c>
      <c r="P31" s="1480"/>
      <c r="Q31" s="1480"/>
      <c r="R31" s="1480"/>
      <c r="S31" s="1480"/>
      <c r="T31" s="1480"/>
      <c r="U31" s="1480"/>
      <c r="V31" s="1480"/>
      <c r="W31" s="1480"/>
      <c r="Y31" s="1185" t="s">
        <v>647</v>
      </c>
      <c r="Z31" s="1483" t="s">
        <v>648</v>
      </c>
      <c r="AA31" s="1483"/>
      <c r="AB31" s="1483"/>
      <c r="AC31" s="1483"/>
    </row>
    <row r="32" spans="1:31">
      <c r="N32" s="1185" t="s">
        <v>655</v>
      </c>
      <c r="O32" s="1480" t="s">
        <v>656</v>
      </c>
      <c r="P32" s="1480"/>
      <c r="Q32" s="1480"/>
      <c r="R32" s="1480"/>
      <c r="S32" s="1480"/>
      <c r="T32" s="1480"/>
      <c r="U32" s="1480"/>
      <c r="V32" s="1480"/>
      <c r="W32" s="1480"/>
      <c r="Y32" s="1185" t="s">
        <v>651</v>
      </c>
      <c r="Z32" s="1483" t="s">
        <v>652</v>
      </c>
      <c r="AA32" s="1483"/>
      <c r="AB32" s="1483"/>
      <c r="AC32" s="1483"/>
    </row>
    <row r="33" spans="14:29">
      <c r="N33" s="1185" t="s">
        <v>657</v>
      </c>
      <c r="O33" s="1480" t="s">
        <v>658</v>
      </c>
      <c r="P33" s="1480"/>
      <c r="Q33" s="1480"/>
      <c r="R33" s="1480"/>
      <c r="S33" s="1480"/>
      <c r="T33" s="1480"/>
      <c r="U33" s="1480"/>
      <c r="V33" s="1480"/>
      <c r="W33" s="1480"/>
      <c r="Y33" s="1185" t="s">
        <v>660</v>
      </c>
      <c r="Z33" s="1483" t="s">
        <v>661</v>
      </c>
      <c r="AA33" s="1483"/>
      <c r="AB33" s="1483"/>
      <c r="AC33" s="1483"/>
    </row>
    <row r="34" spans="14:29">
      <c r="N34" s="1185" t="s">
        <v>649</v>
      </c>
      <c r="O34" s="1480" t="s">
        <v>659</v>
      </c>
      <c r="P34" s="1480"/>
      <c r="Q34" s="1480"/>
      <c r="R34" s="1480"/>
      <c r="S34" s="1480"/>
      <c r="T34" s="1480"/>
      <c r="U34" s="1480"/>
      <c r="V34" s="1480"/>
      <c r="W34" s="1480"/>
      <c r="Y34" s="1185" t="s">
        <v>663</v>
      </c>
      <c r="Z34" s="1483" t="s">
        <v>664</v>
      </c>
      <c r="AA34" s="1483"/>
      <c r="AB34" s="1483"/>
      <c r="AC34" s="1483"/>
    </row>
    <row r="35" spans="14:29">
      <c r="N35" s="1185" t="s">
        <v>653</v>
      </c>
      <c r="O35" s="1480" t="s">
        <v>662</v>
      </c>
      <c r="P35" s="1480"/>
      <c r="Q35" s="1480"/>
      <c r="R35" s="1480"/>
      <c r="S35" s="1480"/>
      <c r="T35" s="1480"/>
      <c r="U35" s="1480"/>
      <c r="V35" s="1480"/>
      <c r="W35" s="1480"/>
      <c r="Y35" s="1186" t="s">
        <v>666</v>
      </c>
      <c r="Z35" s="1481" t="s">
        <v>667</v>
      </c>
      <c r="AA35" s="1481"/>
      <c r="AB35" s="1481"/>
      <c r="AC35" s="1481"/>
    </row>
    <row r="36" spans="14:29">
      <c r="N36" s="1185" t="s">
        <v>660</v>
      </c>
      <c r="O36" s="1480" t="s">
        <v>665</v>
      </c>
      <c r="P36" s="1480"/>
      <c r="Q36" s="1480"/>
      <c r="R36" s="1480"/>
      <c r="S36" s="1480"/>
      <c r="T36" s="1480"/>
      <c r="U36" s="1480"/>
      <c r="V36" s="1480"/>
      <c r="W36" s="1480"/>
      <c r="Y36" s="1185" t="s">
        <v>655</v>
      </c>
      <c r="Z36" s="1483" t="s">
        <v>656</v>
      </c>
      <c r="AA36" s="1483"/>
      <c r="AB36" s="1483"/>
      <c r="AC36" s="1483"/>
    </row>
    <row r="37" spans="14:29">
      <c r="N37" s="1185" t="s">
        <v>668</v>
      </c>
      <c r="O37" s="1480" t="s">
        <v>669</v>
      </c>
      <c r="P37" s="1480"/>
      <c r="Q37" s="1480"/>
      <c r="R37" s="1480"/>
      <c r="S37" s="1480"/>
      <c r="T37" s="1480"/>
      <c r="U37" s="1480"/>
      <c r="V37" s="1480"/>
      <c r="W37" s="1480"/>
      <c r="Y37" s="1187" t="s">
        <v>657</v>
      </c>
      <c r="Z37" s="1484" t="s">
        <v>658</v>
      </c>
      <c r="AA37" s="1484"/>
      <c r="AB37" s="1484"/>
      <c r="AC37" s="1484"/>
    </row>
    <row r="38" spans="14:29">
      <c r="N38" s="1185" t="s">
        <v>663</v>
      </c>
      <c r="O38" s="1480" t="s">
        <v>670</v>
      </c>
      <c r="P38" s="1480"/>
      <c r="Q38" s="1480"/>
      <c r="R38" s="1480"/>
      <c r="S38" s="1480"/>
      <c r="T38" s="1480"/>
      <c r="U38" s="1480"/>
      <c r="V38" s="1480"/>
      <c r="W38" s="1480"/>
    </row>
    <row r="39" spans="14:29">
      <c r="N39" s="1187" t="s">
        <v>666</v>
      </c>
      <c r="O39" s="1482" t="s">
        <v>671</v>
      </c>
      <c r="P39" s="1482"/>
      <c r="Q39" s="1482"/>
      <c r="R39" s="1482"/>
      <c r="S39" s="1482"/>
      <c r="T39" s="1482"/>
      <c r="U39" s="1482"/>
      <c r="V39" s="1482"/>
      <c r="W39" s="1482"/>
    </row>
  </sheetData>
  <sheetProtection algorithmName="SHA-512" hashValue="AXfSmBLkGt0SVT8++Bo+wKBIEGqFjsSzvmrwbfVdavaeta49gMiCTrlDkD0VwLRJt/eiRaBZv/OCvngP4V8VpQ==" saltValue="HHc5AL+jyZOx4Y97OxaMpA=="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Y25:AC25"/>
    <mergeCell ref="O27:W27"/>
    <mergeCell ref="Z27:AC27"/>
    <mergeCell ref="O28:W28"/>
    <mergeCell ref="Z28:AC28"/>
    <mergeCell ref="O29:W29"/>
    <mergeCell ref="Z29:AC29"/>
    <mergeCell ref="O30:W30"/>
    <mergeCell ref="Z30:AC30"/>
    <mergeCell ref="O32:W32"/>
    <mergeCell ref="Z31:AC31"/>
    <mergeCell ref="O31:W31"/>
    <mergeCell ref="Z32:AC32"/>
    <mergeCell ref="O33:W33"/>
    <mergeCell ref="O34:W34"/>
    <mergeCell ref="Z33:AC33"/>
    <mergeCell ref="O35:W35"/>
    <mergeCell ref="Z34:AC34"/>
    <mergeCell ref="O36:W36"/>
    <mergeCell ref="Z35:AC35"/>
    <mergeCell ref="O37:W37"/>
    <mergeCell ref="O38:W38"/>
    <mergeCell ref="O39:W39"/>
    <mergeCell ref="Z36:AC36"/>
    <mergeCell ref="Z37:AC3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EoMAEw/B2s3N+w2uhHN52j9euLqeKhL13nhnzIiAOg97R1SI94yWxff3X5VGQFOwArOCueVxw6jtKYixWNZ2ew==" saltValue="PQD14CnHK3cMNIITY7cUu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BADAJOZ</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c r="BO5" s="1405"/>
      <c r="BP5" s="1404"/>
      <c r="BQ5" s="1405"/>
      <c r="BR5" s="1404"/>
      <c r="BS5" s="1405"/>
      <c r="BT5" s="1404"/>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760</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895</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14</v>
      </c>
      <c r="J10" s="185">
        <v>4</v>
      </c>
      <c r="K10" s="185">
        <v>4</v>
      </c>
      <c r="L10" s="185">
        <v>14</v>
      </c>
      <c r="M10" s="185">
        <v>0</v>
      </c>
      <c r="N10" s="185">
        <v>0</v>
      </c>
      <c r="O10" s="185">
        <v>0</v>
      </c>
      <c r="P10" s="185">
        <v>0</v>
      </c>
      <c r="Q10" s="185">
        <v>0</v>
      </c>
      <c r="R10" s="185">
        <v>0</v>
      </c>
      <c r="S10" s="185">
        <v>17</v>
      </c>
      <c r="T10" s="185">
        <v>4</v>
      </c>
      <c r="U10" s="185">
        <v>3</v>
      </c>
      <c r="V10" s="185">
        <v>18</v>
      </c>
      <c r="W10" s="185">
        <v>2</v>
      </c>
      <c r="X10" s="192">
        <v>0</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17</v>
      </c>
      <c r="AZ10" s="130">
        <f t="shared" si="0"/>
        <v>4</v>
      </c>
      <c r="BA10" s="130">
        <f t="shared" si="0"/>
        <v>3</v>
      </c>
      <c r="BB10" s="130">
        <f t="shared" si="0"/>
        <v>18</v>
      </c>
      <c r="BC10" s="126">
        <f t="shared" si="0"/>
        <v>2</v>
      </c>
      <c r="BD10" s="127">
        <f>IF(ISNUMBER(BA10/AZ10),BA10/AZ10," - ")</f>
        <v>0.75</v>
      </c>
      <c r="BE10" s="128">
        <f>IF(ISNUMBER(BB10/BA10),BB10/BA10, " - ")</f>
        <v>6</v>
      </c>
      <c r="BF10" s="128">
        <f>IF(ISNUMBER(BC10/BA10),BC10/BA10, " - ")</f>
        <v>0.66666666666666663</v>
      </c>
      <c r="BG10" s="200">
        <f>IF(ISNUMBER((AY10+AZ10)/BA10),(AY10+AZ10)/BA10," - ")</f>
        <v>7</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896</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2048</v>
      </c>
      <c r="J12" s="187">
        <v>1006</v>
      </c>
      <c r="K12" s="187">
        <v>879</v>
      </c>
      <c r="L12" s="187">
        <v>2171</v>
      </c>
      <c r="M12" s="187">
        <v>171</v>
      </c>
      <c r="N12" s="187">
        <v>338</v>
      </c>
      <c r="O12" s="185">
        <v>456</v>
      </c>
      <c r="P12" s="187">
        <v>175</v>
      </c>
      <c r="Q12" s="187">
        <v>307</v>
      </c>
      <c r="R12" s="187">
        <v>4971</v>
      </c>
      <c r="S12" s="187">
        <v>2223</v>
      </c>
      <c r="T12" s="187">
        <v>914</v>
      </c>
      <c r="U12" s="187">
        <v>960</v>
      </c>
      <c r="V12" s="187">
        <v>2119</v>
      </c>
      <c r="W12" s="187">
        <v>347</v>
      </c>
      <c r="X12" s="193">
        <v>228</v>
      </c>
      <c r="Y12" s="195">
        <v>76</v>
      </c>
      <c r="Z12" s="185">
        <v>89</v>
      </c>
      <c r="AA12" s="185">
        <v>101</v>
      </c>
      <c r="AB12" s="185">
        <v>64</v>
      </c>
      <c r="AC12" s="187">
        <v>0</v>
      </c>
      <c r="AD12" s="187">
        <v>0</v>
      </c>
      <c r="AE12" s="187">
        <v>0</v>
      </c>
      <c r="AF12" s="193">
        <v>0</v>
      </c>
      <c r="AG12" s="206">
        <v>88</v>
      </c>
      <c r="AH12" s="187">
        <v>81</v>
      </c>
      <c r="AI12" s="187">
        <v>91</v>
      </c>
      <c r="AJ12" s="207">
        <v>63</v>
      </c>
      <c r="AK12" s="186">
        <v>0</v>
      </c>
      <c r="AL12" s="187">
        <v>0</v>
      </c>
      <c r="AM12" s="187">
        <v>0</v>
      </c>
      <c r="AN12" s="193">
        <v>0</v>
      </c>
      <c r="AO12" s="263">
        <v>5</v>
      </c>
      <c r="AP12" s="159">
        <v>5</v>
      </c>
      <c r="AQ12" s="159">
        <v>5</v>
      </c>
      <c r="AR12" s="158">
        <v>5</v>
      </c>
      <c r="AS12" s="349" t="s">
        <v>811</v>
      </c>
      <c r="AT12" s="207"/>
      <c r="AU12" s="206"/>
      <c r="AV12" s="207"/>
      <c r="AW12" s="206"/>
      <c r="AX12" s="207"/>
      <c r="AY12" s="127">
        <f t="shared" si="1"/>
        <v>2311</v>
      </c>
      <c r="AZ12" s="128">
        <f t="shared" si="1"/>
        <v>995</v>
      </c>
      <c r="BA12" s="128">
        <f t="shared" si="1"/>
        <v>1051</v>
      </c>
      <c r="BB12" s="128">
        <f t="shared" si="1"/>
        <v>2182</v>
      </c>
      <c r="BC12" s="126">
        <f>IF(ISNUMBER(X12),X12," - ")</f>
        <v>228</v>
      </c>
      <c r="BD12" s="127">
        <f t="shared" si="2"/>
        <v>1.0562814070351758</v>
      </c>
      <c r="BE12" s="128">
        <f t="shared" si="3"/>
        <v>2.0761179828734537</v>
      </c>
      <c r="BF12" s="128">
        <f t="shared" si="4"/>
        <v>0.21693625118934348</v>
      </c>
      <c r="BG12" s="200">
        <f t="shared" si="5"/>
        <v>3.1455756422454804</v>
      </c>
      <c r="BH12" s="159">
        <v>5</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897</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2062</v>
      </c>
      <c r="J13" s="188">
        <f t="shared" si="6"/>
        <v>1010</v>
      </c>
      <c r="K13" s="188">
        <f t="shared" si="6"/>
        <v>883</v>
      </c>
      <c r="L13" s="188">
        <f t="shared" si="6"/>
        <v>2185</v>
      </c>
      <c r="M13" s="188">
        <f t="shared" si="6"/>
        <v>171</v>
      </c>
      <c r="N13" s="188">
        <f t="shared" si="6"/>
        <v>338</v>
      </c>
      <c r="O13" s="188">
        <f t="shared" si="6"/>
        <v>456</v>
      </c>
      <c r="P13" s="188">
        <f t="shared" si="6"/>
        <v>175</v>
      </c>
      <c r="Q13" s="188">
        <f t="shared" si="6"/>
        <v>307</v>
      </c>
      <c r="R13" s="188">
        <f t="shared" si="6"/>
        <v>4971</v>
      </c>
      <c r="S13" s="188">
        <f t="shared" si="6"/>
        <v>2240</v>
      </c>
      <c r="T13" s="188">
        <f t="shared" si="6"/>
        <v>918</v>
      </c>
      <c r="U13" s="188">
        <f t="shared" si="6"/>
        <v>963</v>
      </c>
      <c r="V13" s="188">
        <f t="shared" si="6"/>
        <v>2137</v>
      </c>
      <c r="W13" s="188">
        <f t="shared" si="6"/>
        <v>349</v>
      </c>
      <c r="X13" s="188">
        <f t="shared" si="6"/>
        <v>228</v>
      </c>
      <c r="Y13" s="188">
        <f t="shared" si="6"/>
        <v>76</v>
      </c>
      <c r="Z13" s="188">
        <f t="shared" si="6"/>
        <v>89</v>
      </c>
      <c r="AA13" s="188">
        <f t="shared" si="6"/>
        <v>101</v>
      </c>
      <c r="AB13" s="188">
        <f t="shared" si="6"/>
        <v>64</v>
      </c>
      <c r="AC13" s="188">
        <f t="shared" si="6"/>
        <v>0</v>
      </c>
      <c r="AD13" s="188">
        <f t="shared" si="6"/>
        <v>0</v>
      </c>
      <c r="AE13" s="188">
        <f t="shared" si="6"/>
        <v>0</v>
      </c>
      <c r="AF13" s="188">
        <f>SUBTOTAL(9,AF9:AF12)</f>
        <v>0</v>
      </c>
      <c r="AG13" s="188">
        <f t="shared" ref="AG13:AT13" si="7">SUBTOTAL(9,AG8:AG12)</f>
        <v>88</v>
      </c>
      <c r="AH13" s="188">
        <f t="shared" si="7"/>
        <v>81</v>
      </c>
      <c r="AI13" s="188">
        <f t="shared" si="7"/>
        <v>91</v>
      </c>
      <c r="AJ13" s="188">
        <f t="shared" si="7"/>
        <v>63</v>
      </c>
      <c r="AK13" s="188">
        <f t="shared" si="7"/>
        <v>0</v>
      </c>
      <c r="AL13" s="188">
        <f t="shared" si="7"/>
        <v>0</v>
      </c>
      <c r="AM13" s="188">
        <f t="shared" si="7"/>
        <v>0</v>
      </c>
      <c r="AN13" s="188">
        <f t="shared" si="7"/>
        <v>0</v>
      </c>
      <c r="AO13" s="188">
        <f t="shared" si="7"/>
        <v>6</v>
      </c>
      <c r="AP13" s="188">
        <f t="shared" si="7"/>
        <v>5</v>
      </c>
      <c r="AQ13" s="188">
        <f t="shared" si="7"/>
        <v>5</v>
      </c>
      <c r="AR13" s="188">
        <f t="shared" si="7"/>
        <v>5</v>
      </c>
      <c r="AS13" s="188">
        <f t="shared" si="7"/>
        <v>0</v>
      </c>
      <c r="AT13" s="188">
        <f t="shared" si="7"/>
        <v>0</v>
      </c>
      <c r="AU13" s="208"/>
      <c r="AV13" s="133"/>
      <c r="AW13" s="208"/>
      <c r="AX13" s="133"/>
      <c r="AY13" s="188">
        <f>SUBTOTAL(9,AY8:AY12)</f>
        <v>2328</v>
      </c>
      <c r="AZ13" s="188">
        <f>SUBTOTAL(9,AZ8:AZ12)</f>
        <v>999</v>
      </c>
      <c r="BA13" s="188">
        <f>SUBTOTAL(9,BA8:BA12)</f>
        <v>1054</v>
      </c>
      <c r="BB13" s="188">
        <f>SUBTOTAL(9,BB8:BB12)</f>
        <v>2200</v>
      </c>
      <c r="BC13" s="188">
        <f>SUBTOTAL(9,BC8:BC12)</f>
        <v>230</v>
      </c>
      <c r="BD13" s="209">
        <f>IF(ISNUMBER(BA13/AZ13),BA13/AZ13," - ")</f>
        <v>1.055055055055055</v>
      </c>
      <c r="BE13" s="210">
        <f>IF(ISNUMBER(BB13/BA13),BB13/BA13, " - ")</f>
        <v>2.0872865275142316</v>
      </c>
      <c r="BF13" s="210">
        <f>IF(ISNUMBER(BC13/BA13),BC13/BA13, " - ")</f>
        <v>0.21821631878557876</v>
      </c>
      <c r="BG13" s="211">
        <f>IF(ISNUMBER((AY13+AZ13)/BA13),(AY13+AZ13)/BA13," - ")</f>
        <v>3.1565464895635675</v>
      </c>
      <c r="BH13" s="144">
        <f>SUBTOTAL(9,BH8:BH12)</f>
        <v>6</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1459</v>
      </c>
      <c r="J16" s="187">
        <v>1064</v>
      </c>
      <c r="K16" s="187">
        <v>954</v>
      </c>
      <c r="L16" s="187">
        <v>1577</v>
      </c>
      <c r="M16" s="187">
        <v>104</v>
      </c>
      <c r="N16" s="187">
        <v>682</v>
      </c>
      <c r="O16" s="185">
        <v>8</v>
      </c>
      <c r="P16" s="187">
        <v>45</v>
      </c>
      <c r="Q16" s="187">
        <v>48</v>
      </c>
      <c r="R16" s="187">
        <v>243</v>
      </c>
      <c r="S16" s="187">
        <v>1439</v>
      </c>
      <c r="T16" s="187">
        <v>877</v>
      </c>
      <c r="U16" s="187">
        <v>757</v>
      </c>
      <c r="V16" s="187">
        <v>1548</v>
      </c>
      <c r="W16" s="187">
        <v>119</v>
      </c>
      <c r="X16" s="193">
        <v>495</v>
      </c>
      <c r="Y16" s="206">
        <v>0</v>
      </c>
      <c r="Z16" s="187">
        <v>0</v>
      </c>
      <c r="AA16" s="187">
        <v>0</v>
      </c>
      <c r="AB16" s="187">
        <v>0</v>
      </c>
      <c r="AC16" s="187">
        <v>0</v>
      </c>
      <c r="AD16" s="187">
        <v>5</v>
      </c>
      <c r="AE16" s="187">
        <v>5</v>
      </c>
      <c r="AF16" s="193">
        <v>0</v>
      </c>
      <c r="AG16" s="206">
        <v>0</v>
      </c>
      <c r="AH16" s="187">
        <v>0</v>
      </c>
      <c r="AI16" s="187">
        <v>0</v>
      </c>
      <c r="AJ16" s="207">
        <v>0</v>
      </c>
      <c r="AK16" s="186">
        <v>0</v>
      </c>
      <c r="AL16" s="187">
        <v>10</v>
      </c>
      <c r="AM16" s="187">
        <v>10</v>
      </c>
      <c r="AN16" s="193">
        <v>0</v>
      </c>
      <c r="AO16" s="263">
        <v>5</v>
      </c>
      <c r="AP16" s="159">
        <v>5</v>
      </c>
      <c r="AQ16" s="159">
        <v>5</v>
      </c>
      <c r="AR16" s="159">
        <v>5</v>
      </c>
      <c r="AS16" s="349" t="s">
        <v>491</v>
      </c>
      <c r="AT16" s="207"/>
      <c r="AU16" s="206"/>
      <c r="AV16" s="207"/>
      <c r="AW16" s="206"/>
      <c r="AX16" s="207"/>
      <c r="AY16" s="127">
        <f t="shared" si="9"/>
        <v>1439</v>
      </c>
      <c r="AZ16" s="128">
        <f t="shared" si="9"/>
        <v>877</v>
      </c>
      <c r="BA16" s="128">
        <f t="shared" si="9"/>
        <v>757</v>
      </c>
      <c r="BB16" s="128">
        <f t="shared" si="9"/>
        <v>1548</v>
      </c>
      <c r="BC16" s="126">
        <f>IF(ISNUMBER(W16),W16," - ")</f>
        <v>119</v>
      </c>
      <c r="BD16" s="127">
        <f t="shared" ref="BD16" si="11">IF(ISNUMBER(BA16/AZ16),BA16/AZ16," - ")</f>
        <v>0.863169897377423</v>
      </c>
      <c r="BE16" s="128">
        <f t="shared" ref="BE16" si="12">IF(ISNUMBER(BB16/BA16),BB16/BA16, " - ")</f>
        <v>2.0449141347424042</v>
      </c>
      <c r="BF16" s="128">
        <f t="shared" ref="BF16" si="13">IF(ISNUMBER(BC16/BA16),BC16/BA16, " - ")</f>
        <v>0.1571994715984148</v>
      </c>
      <c r="BG16" s="200">
        <f t="shared" si="10"/>
        <v>3.059445178335535</v>
      </c>
      <c r="BH16" s="159">
        <v>5</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264</v>
      </c>
      <c r="J17" s="187">
        <v>91</v>
      </c>
      <c r="K17" s="187">
        <v>135</v>
      </c>
      <c r="L17" s="187">
        <v>220</v>
      </c>
      <c r="M17" s="187">
        <v>6</v>
      </c>
      <c r="N17" s="187">
        <v>106</v>
      </c>
      <c r="O17" s="187">
        <v>0</v>
      </c>
      <c r="P17" s="187">
        <v>0</v>
      </c>
      <c r="Q17" s="187">
        <v>0</v>
      </c>
      <c r="R17" s="187">
        <v>3</v>
      </c>
      <c r="S17" s="187">
        <v>168</v>
      </c>
      <c r="T17" s="187">
        <v>118</v>
      </c>
      <c r="U17" s="187">
        <v>80</v>
      </c>
      <c r="V17" s="187">
        <v>206</v>
      </c>
      <c r="W17" s="187">
        <v>4</v>
      </c>
      <c r="X17" s="193">
        <v>65</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168</v>
      </c>
      <c r="AZ17" s="130">
        <f t="shared" si="14"/>
        <v>118</v>
      </c>
      <c r="BA17" s="130">
        <f t="shared" si="14"/>
        <v>80</v>
      </c>
      <c r="BB17" s="130">
        <f t="shared" si="14"/>
        <v>206</v>
      </c>
      <c r="BC17" s="126">
        <f>IF(ISNUMBER(W17),W17," - ")</f>
        <v>4</v>
      </c>
      <c r="BD17" s="127">
        <f>IF(ISNUMBER(BA17/AZ17),BA17/AZ17," - ")</f>
        <v>0.67796610169491522</v>
      </c>
      <c r="BE17" s="128">
        <f>IF(ISNUMBER(BB17/BA17),BB17/BA17, " - ")</f>
        <v>2.5750000000000002</v>
      </c>
      <c r="BF17" s="128">
        <f>IF(ISNUMBER(BC17/BA17),BC17/BA17, " - ")</f>
        <v>0.05</v>
      </c>
      <c r="BG17" s="200">
        <f>IF(ISNUMBER((AY17+AZ17)/BA17),(AY17+AZ17)/BA17," - ")</f>
        <v>3.5750000000000002</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1723</v>
      </c>
      <c r="J18" s="188">
        <f t="shared" si="15"/>
        <v>1155</v>
      </c>
      <c r="K18" s="188">
        <f t="shared" si="15"/>
        <v>1089</v>
      </c>
      <c r="L18" s="188">
        <f t="shared" si="15"/>
        <v>1797</v>
      </c>
      <c r="M18" s="188">
        <f t="shared" si="15"/>
        <v>110</v>
      </c>
      <c r="N18" s="188">
        <f t="shared" si="15"/>
        <v>788</v>
      </c>
      <c r="O18" s="188">
        <f t="shared" si="15"/>
        <v>8</v>
      </c>
      <c r="P18" s="188">
        <f t="shared" si="15"/>
        <v>45</v>
      </c>
      <c r="Q18" s="188">
        <f t="shared" si="15"/>
        <v>48</v>
      </c>
      <c r="R18" s="188">
        <f t="shared" si="15"/>
        <v>246</v>
      </c>
      <c r="S18" s="188">
        <f t="shared" si="15"/>
        <v>1607</v>
      </c>
      <c r="T18" s="188">
        <f t="shared" si="15"/>
        <v>995</v>
      </c>
      <c r="U18" s="188">
        <f t="shared" si="15"/>
        <v>837</v>
      </c>
      <c r="V18" s="188">
        <f t="shared" si="15"/>
        <v>1754</v>
      </c>
      <c r="W18" s="188">
        <f t="shared" si="15"/>
        <v>123</v>
      </c>
      <c r="X18" s="188">
        <f t="shared" si="15"/>
        <v>560</v>
      </c>
      <c r="Y18" s="188">
        <f t="shared" si="15"/>
        <v>0</v>
      </c>
      <c r="Z18" s="188">
        <f t="shared" si="15"/>
        <v>0</v>
      </c>
      <c r="AA18" s="188">
        <f t="shared" si="15"/>
        <v>0</v>
      </c>
      <c r="AB18" s="188">
        <f t="shared" si="15"/>
        <v>0</v>
      </c>
      <c r="AC18" s="188">
        <f t="shared" si="15"/>
        <v>0</v>
      </c>
      <c r="AD18" s="188">
        <f t="shared" si="15"/>
        <v>5</v>
      </c>
      <c r="AE18" s="188">
        <f t="shared" si="15"/>
        <v>5</v>
      </c>
      <c r="AF18" s="188">
        <f t="shared" si="15"/>
        <v>0</v>
      </c>
      <c r="AG18" s="188">
        <f t="shared" si="15"/>
        <v>0</v>
      </c>
      <c r="AH18" s="188">
        <f t="shared" si="15"/>
        <v>0</v>
      </c>
      <c r="AI18" s="188">
        <f t="shared" si="15"/>
        <v>0</v>
      </c>
      <c r="AJ18" s="188">
        <f t="shared" si="15"/>
        <v>0</v>
      </c>
      <c r="AK18" s="188">
        <f t="shared" si="15"/>
        <v>0</v>
      </c>
      <c r="AL18" s="188">
        <f t="shared" si="15"/>
        <v>10</v>
      </c>
      <c r="AM18" s="188">
        <f t="shared" si="15"/>
        <v>10</v>
      </c>
      <c r="AN18" s="188">
        <f t="shared" si="15"/>
        <v>0</v>
      </c>
      <c r="AO18" s="188">
        <f t="shared" si="15"/>
        <v>6</v>
      </c>
      <c r="AP18" s="188">
        <f t="shared" si="15"/>
        <v>5</v>
      </c>
      <c r="AQ18" s="188">
        <f t="shared" si="15"/>
        <v>5</v>
      </c>
      <c r="AR18" s="188">
        <f t="shared" si="15"/>
        <v>5</v>
      </c>
      <c r="AS18" s="188">
        <f t="shared" si="15"/>
        <v>0</v>
      </c>
      <c r="AT18" s="188">
        <f t="shared" si="15"/>
        <v>0</v>
      </c>
      <c r="AU18" s="208"/>
      <c r="AV18" s="133"/>
      <c r="AW18" s="208"/>
      <c r="AX18" s="133"/>
      <c r="AY18" s="188">
        <f>SUBTOTAL(9,AY14:AY17)</f>
        <v>1607</v>
      </c>
      <c r="AZ18" s="188">
        <f>SUBTOTAL(9,AZ14:AZ17)</f>
        <v>995</v>
      </c>
      <c r="BA18" s="188">
        <f>SUBTOTAL(9,BA14:BA17)</f>
        <v>837</v>
      </c>
      <c r="BB18" s="188">
        <f>SUBTOTAL(9,BB14:BB17)</f>
        <v>1754</v>
      </c>
      <c r="BC18" s="188">
        <f>SUBTOTAL(9,BC14:BC17)</f>
        <v>123</v>
      </c>
      <c r="BD18" s="209">
        <f>IF(ISNUMBER(BA18/AZ18),BA18/AZ18," - ")</f>
        <v>0.84120603015075379</v>
      </c>
      <c r="BE18" s="210">
        <f>IF(ISNUMBER(BB18/BA18),BB18/BA18, " - ")</f>
        <v>2.09557945041816</v>
      </c>
      <c r="BF18" s="210">
        <f>IF(ISNUMBER(BC18/BA18),BC18/BA18, " - ")</f>
        <v>0.14695340501792115</v>
      </c>
      <c r="BG18" s="211">
        <f>IF(ISNUMBER((AY18+AZ18)/BA18),(AY18+AZ18)/BA18," - ")</f>
        <v>3.1087216248506571</v>
      </c>
      <c r="BH18" s="188">
        <f>SUBTOTAL(9,BH14:BH17)</f>
        <v>6</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3785</v>
      </c>
      <c r="J19" s="135">
        <f t="shared" si="18"/>
        <v>2165</v>
      </c>
      <c r="K19" s="135">
        <f t="shared" si="18"/>
        <v>1972</v>
      </c>
      <c r="L19" s="135">
        <f t="shared" si="18"/>
        <v>3982</v>
      </c>
      <c r="M19" s="135">
        <f t="shared" si="18"/>
        <v>281</v>
      </c>
      <c r="N19" s="135">
        <f t="shared" si="18"/>
        <v>1126</v>
      </c>
      <c r="O19" s="135">
        <f t="shared" si="18"/>
        <v>464</v>
      </c>
      <c r="P19" s="135">
        <f t="shared" si="18"/>
        <v>220</v>
      </c>
      <c r="Q19" s="135">
        <f t="shared" si="18"/>
        <v>355</v>
      </c>
      <c r="R19" s="135">
        <f t="shared" si="18"/>
        <v>5217</v>
      </c>
      <c r="S19" s="135">
        <f t="shared" si="18"/>
        <v>3847</v>
      </c>
      <c r="T19" s="135">
        <f t="shared" si="18"/>
        <v>1913</v>
      </c>
      <c r="U19" s="135">
        <f t="shared" si="18"/>
        <v>1800</v>
      </c>
      <c r="V19" s="135">
        <f t="shared" si="18"/>
        <v>3891</v>
      </c>
      <c r="W19" s="135">
        <f t="shared" si="18"/>
        <v>472</v>
      </c>
      <c r="X19" s="135">
        <f t="shared" si="18"/>
        <v>788</v>
      </c>
      <c r="Y19" s="135">
        <f t="shared" si="18"/>
        <v>76</v>
      </c>
      <c r="Z19" s="135">
        <f t="shared" si="18"/>
        <v>89</v>
      </c>
      <c r="AA19" s="135">
        <f t="shared" si="18"/>
        <v>101</v>
      </c>
      <c r="AB19" s="135">
        <f t="shared" si="18"/>
        <v>64</v>
      </c>
      <c r="AC19" s="135">
        <f t="shared" si="18"/>
        <v>0</v>
      </c>
      <c r="AD19" s="135">
        <f t="shared" si="18"/>
        <v>5</v>
      </c>
      <c r="AE19" s="135">
        <f t="shared" si="18"/>
        <v>5</v>
      </c>
      <c r="AF19" s="135">
        <f t="shared" si="18"/>
        <v>0</v>
      </c>
      <c r="AG19" s="135">
        <f t="shared" si="18"/>
        <v>88</v>
      </c>
      <c r="AH19" s="135">
        <f t="shared" si="18"/>
        <v>81</v>
      </c>
      <c r="AI19" s="135">
        <f t="shared" si="18"/>
        <v>91</v>
      </c>
      <c r="AJ19" s="135">
        <f t="shared" si="18"/>
        <v>63</v>
      </c>
      <c r="AK19" s="135">
        <f t="shared" si="18"/>
        <v>0</v>
      </c>
      <c r="AL19" s="135">
        <f t="shared" si="18"/>
        <v>10</v>
      </c>
      <c r="AM19" s="135">
        <f t="shared" si="18"/>
        <v>10</v>
      </c>
      <c r="AN19" s="214">
        <f t="shared" si="18"/>
        <v>0</v>
      </c>
      <c r="AO19" s="215">
        <v>6</v>
      </c>
      <c r="AP19" s="215">
        <v>5</v>
      </c>
      <c r="AQ19" s="215">
        <v>5</v>
      </c>
      <c r="AR19" s="215">
        <v>5</v>
      </c>
      <c r="AS19" s="157">
        <f t="shared" si="18"/>
        <v>0</v>
      </c>
      <c r="AT19" s="157">
        <f t="shared" si="18"/>
        <v>0</v>
      </c>
      <c r="AU19" s="215"/>
      <c r="AV19" s="216"/>
      <c r="AW19" s="215"/>
      <c r="AX19" s="216"/>
      <c r="AY19" s="134">
        <f>SUBTOTAL(9,AY9:AY18)</f>
        <v>3935</v>
      </c>
      <c r="AZ19" s="135">
        <f>SUBTOTAL(9,AZ9:AZ18)</f>
        <v>1994</v>
      </c>
      <c r="BA19" s="135">
        <f>SUBTOTAL(9,BA9:BA18)</f>
        <v>1891</v>
      </c>
      <c r="BB19" s="135">
        <f>SUBTOTAL(9,BB9:BB18)</f>
        <v>3954</v>
      </c>
      <c r="BC19" s="136">
        <f>SUBTOTAL(9,BC9:BC18)</f>
        <v>353</v>
      </c>
      <c r="BD19" s="217">
        <f>IF(ISNUMBER(BA19/AZ19),BA19/AZ19," - ")</f>
        <v>0.94834503510531598</v>
      </c>
      <c r="BE19" s="214">
        <f>IF(ISNUMBER(BB19/BA19),BB19/BA19, " - ")</f>
        <v>2.0909571655208885</v>
      </c>
      <c r="BF19" s="214">
        <f>IF(ISNUMBER(BC19/BA19),BC19/BA19, " - ")</f>
        <v>0.18667371760973031</v>
      </c>
      <c r="BG19" s="136">
        <f>IF(ISNUMBER((AY19+AZ19)/BA19),(AY19+AZ19)/BA19," - ")</f>
        <v>3.1353781068217876</v>
      </c>
      <c r="BH19" s="215">
        <f>SUBTOTAL(9,BH9:BH18)</f>
        <v>12</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VLmVC9M0WyMs80GExMHI4Di/cSdsGJqle4gMfmT6ZZBkyrmhoWqcvWmSJxAdv8ZNcSjtFurbQoylaNpVncKSpw==" saltValue="+zgv+AdOvjiAeHusMyJgJA=="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07"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topLeftCell="A8" zoomScale="80" zoomScaleNormal="80" workbookViewId="0">
      <pane xSplit="1" topLeftCell="DV1" activePane="topRight" state="frozen"/>
      <selection pane="topRight" activeCell="EO14" sqref="EO14"/>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BADAJOZ</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391</v>
      </c>
      <c r="BN5" s="1404"/>
      <c r="BO5" s="1405"/>
      <c r="BP5" s="1404"/>
      <c r="BQ5" s="1405"/>
      <c r="BR5" s="1404"/>
      <c r="BS5" s="1405"/>
      <c r="BT5" s="1404"/>
      <c r="BU5" s="1405"/>
      <c r="BV5" s="1581" t="s">
        <v>275</v>
      </c>
      <c r="BW5" s="1650" t="s">
        <v>255</v>
      </c>
      <c r="BX5" s="1650"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460</v>
      </c>
      <c r="CL5" s="1548" t="s">
        <v>461</v>
      </c>
      <c r="CM5" s="1548" t="s">
        <v>462</v>
      </c>
      <c r="CN5" s="1632" t="s">
        <v>373</v>
      </c>
      <c r="CO5" s="1632" t="s">
        <v>366</v>
      </c>
      <c r="CP5" s="1632" t="s">
        <v>372</v>
      </c>
      <c r="CQ5" s="1647" t="s">
        <v>371</v>
      </c>
      <c r="CR5" s="1647" t="s">
        <v>42</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483</v>
      </c>
      <c r="DM5" s="1551" t="s">
        <v>534</v>
      </c>
      <c r="DN5" s="1551" t="s">
        <v>535</v>
      </c>
      <c r="DO5" s="1551" t="s">
        <v>536</v>
      </c>
      <c r="DP5" s="1551" t="s">
        <v>537</v>
      </c>
      <c r="DQ5" s="1551" t="s">
        <v>538</v>
      </c>
      <c r="DR5" s="1551" t="s">
        <v>539</v>
      </c>
      <c r="DS5" s="1551" t="s">
        <v>540</v>
      </c>
      <c r="DT5" s="1551" t="s">
        <v>541</v>
      </c>
      <c r="DU5" s="1530" t="s">
        <v>542</v>
      </c>
      <c r="DV5" s="1530" t="s">
        <v>543</v>
      </c>
      <c r="DW5" s="1527" t="s">
        <v>544</v>
      </c>
      <c r="DX5" s="1551" t="s">
        <v>545</v>
      </c>
      <c r="DY5" s="1524" t="s">
        <v>546</v>
      </c>
      <c r="DZ5" s="1527" t="s">
        <v>547</v>
      </c>
      <c r="EA5" s="1524" t="s">
        <v>548</v>
      </c>
      <c r="EB5" s="1558" t="s">
        <v>592</v>
      </c>
      <c r="EC5" s="1558" t="s">
        <v>624</v>
      </c>
      <c r="ED5" s="1558" t="s">
        <v>594</v>
      </c>
      <c r="EE5" s="1558" t="s">
        <v>627</v>
      </c>
      <c r="EF5" s="1558" t="s">
        <v>628</v>
      </c>
      <c r="EG5" s="1524" t="s">
        <v>629</v>
      </c>
      <c r="EH5" s="1524" t="s">
        <v>630</v>
      </c>
      <c r="EI5" s="1524" t="s">
        <v>596</v>
      </c>
      <c r="EJ5" s="1524" t="s">
        <v>597</v>
      </c>
      <c r="EK5" s="1653" t="s">
        <v>678</v>
      </c>
      <c r="EL5" s="1542" t="s">
        <v>694</v>
      </c>
      <c r="EM5" s="1543"/>
      <c r="EN5" s="1544"/>
      <c r="EO5" s="1536" t="s">
        <v>752</v>
      </c>
      <c r="EP5" s="1536" t="s">
        <v>754</v>
      </c>
      <c r="EQ5" s="1536" t="s">
        <v>755</v>
      </c>
      <c r="ER5" s="1536" t="s">
        <v>760</v>
      </c>
      <c r="ES5" s="1536" t="s">
        <v>765</v>
      </c>
      <c r="ET5" s="1533" t="s">
        <v>832</v>
      </c>
      <c r="EU5" s="1533" t="s">
        <v>833</v>
      </c>
      <c r="EV5" s="1564" t="s">
        <v>849</v>
      </c>
      <c r="EW5" s="1524" t="s">
        <v>852</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651"/>
      <c r="BX6" s="1651"/>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31"/>
      <c r="DV6" s="1531"/>
      <c r="DW6" s="1528"/>
      <c r="DX6" s="1451"/>
      <c r="DY6" s="1525"/>
      <c r="DZ6" s="1528"/>
      <c r="EA6" s="1525"/>
      <c r="EB6" s="1559"/>
      <c r="EC6" s="1559"/>
      <c r="ED6" s="1559"/>
      <c r="EE6" s="1559"/>
      <c r="EF6" s="1559"/>
      <c r="EG6" s="1525"/>
      <c r="EH6" s="1525"/>
      <c r="EI6" s="1525"/>
      <c r="EJ6" s="1525"/>
      <c r="EK6" s="1654"/>
      <c r="EL6" s="1545"/>
      <c r="EM6" s="1546"/>
      <c r="EN6" s="1547"/>
      <c r="EO6" s="1537"/>
      <c r="EP6" s="1537"/>
      <c r="EQ6" s="1537"/>
      <c r="ER6" s="1537"/>
      <c r="ES6" s="1537"/>
      <c r="ET6" s="1534"/>
      <c r="EU6" s="1534"/>
      <c r="EV6" s="1565"/>
      <c r="EW6" s="1525"/>
      <c r="EX6" s="1642"/>
      <c r="EY6" s="1636"/>
    </row>
    <row r="7" spans="1:155" ht="87" customHeight="1" thickBot="1">
      <c r="A7" s="70" t="s">
        <v>751</v>
      </c>
      <c r="B7" s="1595"/>
      <c r="C7" s="1598"/>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652"/>
      <c r="BX7" s="1652"/>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32"/>
      <c r="DV7" s="1532"/>
      <c r="DW7" s="1529"/>
      <c r="DX7" s="1452"/>
      <c r="DY7" s="1526"/>
      <c r="DZ7" s="1529"/>
      <c r="EA7" s="1526"/>
      <c r="EB7" s="1560"/>
      <c r="EC7" s="1560"/>
      <c r="ED7" s="1560"/>
      <c r="EE7" s="1560"/>
      <c r="EF7" s="1560"/>
      <c r="EG7" s="1526"/>
      <c r="EH7" s="1526"/>
      <c r="EI7" s="1526"/>
      <c r="EJ7" s="1526"/>
      <c r="EK7" s="1655"/>
      <c r="EL7" s="745" t="s">
        <v>695</v>
      </c>
      <c r="EM7" s="745" t="s">
        <v>95</v>
      </c>
      <c r="EN7" s="745" t="s">
        <v>96</v>
      </c>
      <c r="EO7" s="1538"/>
      <c r="EP7" s="1538"/>
      <c r="EQ7" s="1538"/>
      <c r="ER7" s="1538"/>
      <c r="ES7" s="1538"/>
      <c r="ET7" s="1535"/>
      <c r="EU7" s="1535"/>
      <c r="EV7" s="1566"/>
      <c r="EW7" s="1526"/>
      <c r="EX7" s="1643"/>
      <c r="EY7" s="1637"/>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871</v>
      </c>
      <c r="EY8" s="487" t="s">
        <v>884</v>
      </c>
    </row>
    <row r="9" spans="1:155" s="693" customFormat="1" ht="14.25" customHeight="1">
      <c r="A9" s="721" t="s">
        <v>45</v>
      </c>
      <c r="B9" s="675" t="s">
        <v>406</v>
      </c>
      <c r="C9" s="676" t="s">
        <v>3</v>
      </c>
      <c r="D9" s="677" t="s">
        <v>20</v>
      </c>
      <c r="E9" s="675" t="s">
        <v>21</v>
      </c>
      <c r="F9" s="675">
        <v>32</v>
      </c>
      <c r="G9" s="678"/>
      <c r="H9" s="722" t="s">
        <v>248</v>
      </c>
      <c r="I9" s="723" t="s">
        <v>875</v>
      </c>
      <c r="J9" s="680" t="s">
        <v>877</v>
      </c>
      <c r="K9" s="680" t="s">
        <v>879</v>
      </c>
      <c r="L9" s="680" t="s">
        <v>881</v>
      </c>
      <c r="M9" s="680" t="s">
        <v>883</v>
      </c>
      <c r="N9" s="680" t="s">
        <v>886</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892</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899</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893</v>
      </c>
      <c r="DC9" s="729" t="s">
        <v>894</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895</v>
      </c>
      <c r="EP9" s="1135" t="s">
        <v>902</v>
      </c>
      <c r="EQ9" s="1135" t="s">
        <v>904</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901</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887</v>
      </c>
      <c r="DC11" s="334" t="s">
        <v>888</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896</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876</v>
      </c>
      <c r="J12" s="321" t="s">
        <v>878</v>
      </c>
      <c r="K12" s="321" t="s">
        <v>880</v>
      </c>
      <c r="L12" s="321" t="s">
        <v>882</v>
      </c>
      <c r="M12" s="321" t="s">
        <v>874</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889</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900</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890</v>
      </c>
      <c r="DC12" s="729" t="s">
        <v>891</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898</v>
      </c>
      <c r="EP12" s="1135" t="s">
        <v>903</v>
      </c>
      <c r="EQ12" s="1135" t="s">
        <v>905</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fkcnAeXcSIph/7knztAfOmQBmwC/32mF5js5NZw4fLQkRFeaf5c4Fmzs2K7FXsv1LL5zcO1VLiyp0hn5SCtuOA==" saltValue="N6nYMUDGVyM4L7E/Klu1ng=="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W58" sqref="W58"/>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EXTREMADURA</v>
      </c>
      <c r="F1" s="531"/>
    </row>
    <row r="2" spans="1:74" ht="16.5" customHeight="1">
      <c r="C2" s="520" t="str">
        <f>Criterios!A10 &amp;"  "&amp;Criterios!B10 &amp; "  " &amp; IF(NOT(ISBLANK(Criterios!A11)),Criterios!A11 &amp;"  "&amp;Criterios!B11,"")</f>
        <v>Provincias  BADAJOZ  Resumenes por Partidos Judiciales  MERIDA</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42" t="s">
        <v>354</v>
      </c>
      <c r="B5" s="276"/>
      <c r="C5" s="1686"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673</v>
      </c>
      <c r="L5" s="1659" t="s">
        <v>566</v>
      </c>
      <c r="M5" s="1659" t="s">
        <v>534</v>
      </c>
      <c r="N5" s="1659" t="s">
        <v>674</v>
      </c>
      <c r="O5" s="1691" t="s">
        <v>592</v>
      </c>
      <c r="P5" s="1659" t="s">
        <v>692</v>
      </c>
      <c r="Q5" s="1659" t="s">
        <v>687</v>
      </c>
      <c r="R5" s="1659" t="s">
        <v>170</v>
      </c>
      <c r="S5" s="1694" t="s">
        <v>684</v>
      </c>
      <c r="T5" s="1694" t="s">
        <v>686</v>
      </c>
      <c r="U5" s="1659" t="s">
        <v>595</v>
      </c>
      <c r="V5" s="1694" t="s">
        <v>567</v>
      </c>
      <c r="W5" s="1659" t="s">
        <v>779</v>
      </c>
      <c r="X5" s="1659" t="s">
        <v>780</v>
      </c>
      <c r="Y5" s="1662" t="s">
        <v>675</v>
      </c>
      <c r="Z5" s="1677" t="s">
        <v>617</v>
      </c>
      <c r="AA5" s="1680" t="s">
        <v>568</v>
      </c>
      <c r="AB5" s="1677" t="s">
        <v>569</v>
      </c>
      <c r="AC5" s="1677" t="s">
        <v>570</v>
      </c>
      <c r="AD5" s="1656" t="s">
        <v>676</v>
      </c>
      <c r="AE5" s="1656" t="s">
        <v>807</v>
      </c>
      <c r="AF5" s="1659" t="s">
        <v>688</v>
      </c>
      <c r="AG5" s="1659" t="s">
        <v>535</v>
      </c>
      <c r="AH5" s="1659" t="s">
        <v>677</v>
      </c>
      <c r="AI5" s="1659" t="s">
        <v>181</v>
      </c>
      <c r="AJ5" s="1659" t="s">
        <v>742</v>
      </c>
      <c r="AK5" s="1659" t="s">
        <v>536</v>
      </c>
      <c r="AL5" s="1659" t="s">
        <v>537</v>
      </c>
      <c r="AM5" s="1659" t="s">
        <v>693</v>
      </c>
      <c r="AN5" s="1659" t="s">
        <v>538</v>
      </c>
      <c r="AO5" s="1659" t="s">
        <v>539</v>
      </c>
      <c r="AP5" s="1659" t="s">
        <v>540</v>
      </c>
      <c r="AQ5" s="1659" t="s">
        <v>541</v>
      </c>
      <c r="AR5" s="1659" t="s">
        <v>678</v>
      </c>
      <c r="AS5" s="1659" t="s">
        <v>184</v>
      </c>
      <c r="AT5" s="1665" t="s">
        <v>182</v>
      </c>
      <c r="AU5" s="1659" t="s">
        <v>689</v>
      </c>
      <c r="AV5" s="1668" t="s">
        <v>690</v>
      </c>
      <c r="AW5" s="1671" t="s">
        <v>543</v>
      </c>
      <c r="AX5" s="1659" t="s">
        <v>544</v>
      </c>
      <c r="AY5" s="1659" t="s">
        <v>615</v>
      </c>
      <c r="AZ5" s="1674" t="s">
        <v>616</v>
      </c>
      <c r="BA5" s="1659" t="s">
        <v>572</v>
      </c>
      <c r="BB5" s="1668" t="s">
        <v>573</v>
      </c>
      <c r="BC5" s="1671" t="s">
        <v>185</v>
      </c>
      <c r="BD5" s="1659" t="s">
        <v>574</v>
      </c>
      <c r="BE5" s="1659" t="s">
        <v>250</v>
      </c>
      <c r="BF5" s="1659" t="s">
        <v>251</v>
      </c>
      <c r="BG5" s="1659" t="s">
        <v>252</v>
      </c>
      <c r="BH5" s="1659" t="s">
        <v>575</v>
      </c>
      <c r="BI5" s="1659" t="s">
        <v>253</v>
      </c>
      <c r="BJ5" s="1659" t="s">
        <v>576</v>
      </c>
      <c r="BK5" s="1659" t="s">
        <v>590</v>
      </c>
      <c r="BL5" s="1659" t="s">
        <v>577</v>
      </c>
      <c r="BM5" s="1659" t="s">
        <v>578</v>
      </c>
      <c r="BN5" s="1659" t="s">
        <v>603</v>
      </c>
      <c r="BO5" s="1659" t="s">
        <v>596</v>
      </c>
      <c r="BP5" s="1659" t="s">
        <v>850</v>
      </c>
      <c r="BQ5" s="1659" t="s">
        <v>853</v>
      </c>
      <c r="BR5" s="1659" t="s">
        <v>855</v>
      </c>
      <c r="BS5" s="1659" t="s">
        <v>597</v>
      </c>
      <c r="BT5" s="1659" t="s">
        <v>579</v>
      </c>
      <c r="BU5" s="1659" t="s">
        <v>542</v>
      </c>
      <c r="BV5" s="1683" t="s">
        <v>781</v>
      </c>
    </row>
    <row r="6" spans="1:74" ht="21.75" customHeight="1">
      <c r="A6" s="1443"/>
      <c r="B6" s="277"/>
      <c r="C6" s="1687"/>
      <c r="D6" s="1660"/>
      <c r="E6" s="1660"/>
      <c r="F6" s="1689"/>
      <c r="G6" s="1660"/>
      <c r="H6" s="1660"/>
      <c r="I6" s="1660"/>
      <c r="J6" s="1660"/>
      <c r="K6" s="1660"/>
      <c r="L6" s="1660"/>
      <c r="M6" s="1660"/>
      <c r="N6" s="1660"/>
      <c r="O6" s="1692"/>
      <c r="P6" s="1660"/>
      <c r="Q6" s="1660"/>
      <c r="R6" s="1660"/>
      <c r="S6" s="1695"/>
      <c r="T6" s="1695"/>
      <c r="U6" s="1660"/>
      <c r="V6" s="1695"/>
      <c r="W6" s="1660"/>
      <c r="X6" s="1660"/>
      <c r="Y6" s="1663"/>
      <c r="Z6" s="1678"/>
      <c r="AA6" s="1681"/>
      <c r="AB6" s="1678"/>
      <c r="AC6" s="1678"/>
      <c r="AD6" s="1657"/>
      <c r="AE6" s="1657"/>
      <c r="AF6" s="1660"/>
      <c r="AG6" s="1660"/>
      <c r="AH6" s="1660"/>
      <c r="AI6" s="1660"/>
      <c r="AJ6" s="1660"/>
      <c r="AK6" s="1660"/>
      <c r="AL6" s="1660"/>
      <c r="AM6" s="1660"/>
      <c r="AN6" s="1660"/>
      <c r="AO6" s="1660"/>
      <c r="AP6" s="1660"/>
      <c r="AQ6" s="1660"/>
      <c r="AR6" s="1660"/>
      <c r="AS6" s="1660"/>
      <c r="AT6" s="1666"/>
      <c r="AU6" s="1660"/>
      <c r="AV6" s="1669"/>
      <c r="AW6" s="1672"/>
      <c r="AX6" s="1660"/>
      <c r="AY6" s="1660"/>
      <c r="AZ6" s="1675"/>
      <c r="BA6" s="1660"/>
      <c r="BB6" s="1669"/>
      <c r="BC6" s="1672"/>
      <c r="BD6" s="1660"/>
      <c r="BE6" s="1660"/>
      <c r="BF6" s="1660"/>
      <c r="BG6" s="1660"/>
      <c r="BH6" s="1660"/>
      <c r="BI6" s="1660"/>
      <c r="BJ6" s="1660"/>
      <c r="BK6" s="1660"/>
      <c r="BL6" s="1660"/>
      <c r="BM6" s="1660"/>
      <c r="BN6" s="1660"/>
      <c r="BO6" s="1660"/>
      <c r="BP6" s="1660"/>
      <c r="BQ6" s="1660"/>
      <c r="BR6" s="1660"/>
      <c r="BS6" s="1660"/>
      <c r="BT6" s="1660"/>
      <c r="BU6" s="1660"/>
      <c r="BV6" s="1684"/>
    </row>
    <row r="7" spans="1:74" ht="38.25" customHeight="1" thickBot="1">
      <c r="A7" s="1444"/>
      <c r="B7" s="278"/>
      <c r="C7" s="268" t="str">
        <f>Datos!A7</f>
        <v>COMPETENCIAS</v>
      </c>
      <c r="D7" s="1661"/>
      <c r="E7" s="1661"/>
      <c r="F7" s="1690"/>
      <c r="G7" s="1661"/>
      <c r="H7" s="1661"/>
      <c r="I7" s="1661"/>
      <c r="J7" s="1661"/>
      <c r="K7" s="1661"/>
      <c r="L7" s="1661"/>
      <c r="M7" s="1661"/>
      <c r="N7" s="1661"/>
      <c r="O7" s="1693"/>
      <c r="P7" s="1661"/>
      <c r="Q7" s="1661"/>
      <c r="R7" s="1661"/>
      <c r="S7" s="1696"/>
      <c r="T7" s="1696"/>
      <c r="U7" s="1661"/>
      <c r="V7" s="1696"/>
      <c r="W7" s="1661"/>
      <c r="X7" s="1661"/>
      <c r="Y7" s="1664"/>
      <c r="Z7" s="1679"/>
      <c r="AA7" s="1682"/>
      <c r="AB7" s="1679"/>
      <c r="AC7" s="1679"/>
      <c r="AD7" s="1658"/>
      <c r="AE7" s="1658"/>
      <c r="AF7" s="1661"/>
      <c r="AG7" s="1661"/>
      <c r="AH7" s="1661"/>
      <c r="AI7" s="1661"/>
      <c r="AJ7" s="1661"/>
      <c r="AK7" s="1661"/>
      <c r="AL7" s="1661"/>
      <c r="AM7" s="1661"/>
      <c r="AN7" s="1661"/>
      <c r="AO7" s="1661"/>
      <c r="AP7" s="1661"/>
      <c r="AQ7" s="1661"/>
      <c r="AR7" s="1661"/>
      <c r="AS7" s="1661"/>
      <c r="AT7" s="1667"/>
      <c r="AU7" s="1661"/>
      <c r="AV7" s="1670"/>
      <c r="AW7" s="1673"/>
      <c r="AX7" s="1661"/>
      <c r="AY7" s="1661"/>
      <c r="AZ7" s="1676"/>
      <c r="BA7" s="1661"/>
      <c r="BB7" s="1670"/>
      <c r="BC7" s="1673"/>
      <c r="BD7" s="1661"/>
      <c r="BE7" s="1661"/>
      <c r="BF7" s="1661"/>
      <c r="BG7" s="1661"/>
      <c r="BH7" s="1661"/>
      <c r="BI7" s="1661"/>
      <c r="BJ7" s="1661"/>
      <c r="BK7" s="1661"/>
      <c r="BL7" s="1661"/>
      <c r="BM7" s="1661"/>
      <c r="BN7" s="1661"/>
      <c r="BO7" s="1661"/>
      <c r="BP7" s="1661"/>
      <c r="BQ7" s="1661"/>
      <c r="BR7" s="1661"/>
      <c r="BS7" s="1661"/>
      <c r="BT7" s="1661"/>
      <c r="BU7" s="1661"/>
      <c r="BV7" s="1685"/>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218.18181818181819</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14</v>
      </c>
      <c r="G10" s="497">
        <f>IF(ISNUMBER(Datos!I10),Datos!I10," - ")</f>
        <v>14</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4</v>
      </c>
      <c r="AC10" s="501">
        <f>IF(ISNUMBER(Datos!Q10),Datos!Q10," - ")</f>
        <v>0</v>
      </c>
      <c r="AD10" s="503"/>
      <c r="AE10" s="516"/>
      <c r="AF10" s="505">
        <f>IF(ISNUMBER(Datos!L10),Datos!L10,"-")</f>
        <v>14</v>
      </c>
      <c r="AG10" s="503"/>
      <c r="AH10" s="503"/>
      <c r="AI10" s="503"/>
      <c r="AJ10" s="503"/>
      <c r="AK10" s="503"/>
      <c r="AL10" s="504"/>
      <c r="AM10" s="671">
        <f>IF(ISNUMBER(Datos!R10),Datos!R10," - ")</f>
        <v>0</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0</v>
      </c>
      <c r="BD10" s="619">
        <f>IF(ISNUMBER(Datos!N10),Datos!N10," - ")</f>
        <v>0</v>
      </c>
      <c r="BE10" s="619" t="str">
        <f>IF(ISNUMBER(Datos!BW10),Datos!BW10," - ")</f>
        <v xml:space="preserve"> - </v>
      </c>
      <c r="BF10" s="667" t="str">
        <f>IF(ISNUMBER(Datos!BX10),Datos!BX10," - ")</f>
        <v xml:space="preserve"> - </v>
      </c>
      <c r="BG10" s="668">
        <f>IF(ISNUMBER(Datos!K10/Datos!J10),Datos!K10/Datos!J10," - ")</f>
        <v>1</v>
      </c>
      <c r="BH10" s="669">
        <f>IF(ISNUMBER(((Datos!L10/Datos!K10)*11)/factor_trimestre),((Datos!L10/Datos!K10)*11)/factor_trimestre," - ")</f>
        <v>7</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t="str">
        <f>IF(ISNUMBER((Datos!P10-Datos!Q10+Datos!DE10)/(Datos!R10-Datos!P10+Datos!Q10-Datos!DE10)),(Datos!P10-Datos!Q10+Datos!DE10)/(Datos!R10-Datos!P10+Datos!Q10-Datos!DE10)," - ")</f>
        <v xml:space="preserve"> - </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290.90909090909093</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240.54545454545453</v>
      </c>
    </row>
    <row r="12" spans="1:74" s="531" customFormat="1" ht="15" thickBot="1">
      <c r="A12" s="652">
        <f>Datos!AO12</f>
        <v>5</v>
      </c>
      <c r="B12" s="653" t="s">
        <v>249</v>
      </c>
      <c r="C12" s="654" t="str">
        <f>Datos!A12</f>
        <v xml:space="preserve">Jdos. 1ª Instª. e Instr.                        </v>
      </c>
      <c r="D12" s="548"/>
      <c r="E12" s="669">
        <f>IF(ISNUMBER(Datos!AQ12),Datos!AQ12," - ")</f>
        <v>5</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89</v>
      </c>
      <c r="O12" s="503"/>
      <c r="P12" s="503"/>
      <c r="Q12" s="501">
        <f>IF(ISNUMBER(Datos!P12),Datos!P12,0)</f>
        <v>175</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307</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64</v>
      </c>
      <c r="AI12" s="503" t="str">
        <f>IF(ISNUMBER(Datos!CD12),Datos!CD12,"-")</f>
        <v>-</v>
      </c>
      <c r="AJ12" s="503" t="str">
        <f>IF(ISNUMBER(Datos!EN12),Datos!EN12," - ")</f>
        <v xml:space="preserve"> - </v>
      </c>
      <c r="AK12" s="503"/>
      <c r="AL12" s="504"/>
      <c r="AM12" s="671">
        <f>IF(ISNUMBER(Datos!R12),Datos!R12," - ")</f>
        <v>4971</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171</v>
      </c>
      <c r="BD12" s="619">
        <f>IF(ISNUMBER(Datos!N12),Datos!N12," - ")</f>
        <v>338</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0.89497716894977164</v>
      </c>
      <c r="BH12" s="669">
        <f>IF(ISNUMBER(((IF(J_V="SI",Datos!L12/Datos!K12,(Datos!L12+Datos!AB12)/(Datos!K12+Datos!AA12)))*11)/factor_trimestre),((IF(J_V="SI",Datos!L12/Datos!K12,(Datos!L12+Datos!AB12)/(Datos!K12+Datos!AA12)))*11)/factor_trimestre," - ")</f>
        <v>4.5612244897959187</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-2.5867136978248089E-2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123.63636363636364</v>
      </c>
    </row>
    <row r="13" spans="1:74" ht="15.75" thickTop="1" thickBot="1">
      <c r="A13" s="182"/>
      <c r="B13" s="182"/>
      <c r="C13" s="1009" t="str">
        <f>Datos!A13</f>
        <v>TOTAL</v>
      </c>
      <c r="D13" s="1043"/>
      <c r="E13" s="1329">
        <f t="shared" ref="E13:Z13" si="0">SUBTOTAL(9,E8:E12)</f>
        <v>5</v>
      </c>
      <c r="F13" s="1044">
        <f t="shared" si="0"/>
        <v>14</v>
      </c>
      <c r="G13" s="1044">
        <f t="shared" si="0"/>
        <v>14</v>
      </c>
      <c r="H13" s="1045">
        <f t="shared" si="0"/>
        <v>0</v>
      </c>
      <c r="I13" s="1044">
        <f t="shared" si="0"/>
        <v>0</v>
      </c>
      <c r="J13" s="1013">
        <f t="shared" si="0"/>
        <v>0</v>
      </c>
      <c r="K13" s="1013">
        <f t="shared" si="0"/>
        <v>0</v>
      </c>
      <c r="L13" s="1045">
        <f t="shared" si="0"/>
        <v>0</v>
      </c>
      <c r="M13" s="1045">
        <f t="shared" si="0"/>
        <v>0</v>
      </c>
      <c r="N13" s="1045">
        <f t="shared" si="0"/>
        <v>89</v>
      </c>
      <c r="O13" s="1046">
        <f t="shared" si="0"/>
        <v>0</v>
      </c>
      <c r="P13" s="1046">
        <f t="shared" si="0"/>
        <v>0</v>
      </c>
      <c r="Q13" s="1045">
        <f t="shared" si="0"/>
        <v>175</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4</v>
      </c>
      <c r="AC13" s="1045">
        <f t="shared" si="1"/>
        <v>307</v>
      </c>
      <c r="AD13" s="1045">
        <f t="shared" si="1"/>
        <v>0</v>
      </c>
      <c r="AE13" s="1045">
        <f t="shared" si="1"/>
        <v>0</v>
      </c>
      <c r="AF13" s="1045">
        <f t="shared" si="1"/>
        <v>14</v>
      </c>
      <c r="AG13" s="1045">
        <f t="shared" si="1"/>
        <v>0</v>
      </c>
      <c r="AH13" s="1045">
        <f t="shared" si="1"/>
        <v>64</v>
      </c>
      <c r="AI13" s="1045">
        <f t="shared" si="1"/>
        <v>0</v>
      </c>
      <c r="AJ13" s="1045">
        <f t="shared" si="1"/>
        <v>0</v>
      </c>
      <c r="AK13" s="1045">
        <f t="shared" si="1"/>
        <v>0</v>
      </c>
      <c r="AL13" s="1045">
        <f t="shared" si="1"/>
        <v>0</v>
      </c>
      <c r="AM13" s="1045">
        <f t="shared" si="1"/>
        <v>4971</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171</v>
      </c>
      <c r="BD13" s="1045">
        <f t="shared" si="1"/>
        <v>338</v>
      </c>
      <c r="BE13" s="1045">
        <f t="shared" si="1"/>
        <v>0</v>
      </c>
      <c r="BF13" s="1045">
        <f t="shared" si="1"/>
        <v>0</v>
      </c>
      <c r="BG13" s="1045">
        <f>IF(ISNUMBER(Datos!K13/Datos!J13),Datos!K13/Datos!J13," - ")</f>
        <v>0.87425742574257426</v>
      </c>
      <c r="BH13" s="1049">
        <f>IF(ISNUMBER(((Datos!L13/Datos!K13)*11)/factor_trimestre),((Datos!L13/Datos!K13)*11)/factor_trimestre," - ")</f>
        <v>4.9490373725934313</v>
      </c>
      <c r="BI13" s="1045">
        <f>IF(ISNUMBER('Resol  Asuntos'!D13/NºAsuntos!G13),'Resol  Asuntos'!D13/NºAsuntos!G13," - ")</f>
        <v>0.17378048780487804</v>
      </c>
      <c r="BJ13" s="1045" t="str">
        <f>IF(ISNUMBER(Datos!CI13/Datos!CJ13),Datos!CI13/Datos!CJ13," - ")</f>
        <v xml:space="preserve"> - </v>
      </c>
      <c r="BK13" s="1045">
        <f>SUBTOTAL(9,BK8:BK12)</f>
        <v>0</v>
      </c>
      <c r="BL13" s="1045">
        <f>IF(ISNUMBER((I13-AB13+L13)/(F13)),(I13-AB13+L13)/(F13)," - ")</f>
        <v>-0.2857142857142857</v>
      </c>
      <c r="BM13" s="1050">
        <f>SUBTOTAL(9,BM9:BM12)</f>
        <v>-2.5867136978248089E-2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873.27272727272725</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600</v>
      </c>
    </row>
    <row r="16" spans="1:74" s="651" customFormat="1" ht="14.25">
      <c r="A16" s="645">
        <f>Datos!AO16</f>
        <v>5</v>
      </c>
      <c r="B16" s="646" t="s">
        <v>400</v>
      </c>
      <c r="C16" s="656" t="str">
        <f>Datos!A16</f>
        <v xml:space="preserve">Jdos. 1ª Instª. e Instr.                        </v>
      </c>
      <c r="D16" s="657"/>
      <c r="E16" s="1330">
        <f>IF(ISNUMBER(Datos!AQ16),Datos!AQ16," - ")</f>
        <v>5</v>
      </c>
      <c r="F16" s="647">
        <f>IF(ISNUMBER(AF16+AB16-Datos!J16-L16),AF16+AB16-Datos!J16-L16," - ")</f>
        <v>1467</v>
      </c>
      <c r="G16" s="650">
        <f>IF(ISNUMBER(IF(D_I="SI",Datos!I16,Datos!I16+Datos!AC16)),IF(D_I="SI",Datos!I16,Datos!I16+Datos!AC16)," - ")</f>
        <v>1459</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45</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954</v>
      </c>
      <c r="AC16" s="230">
        <f>IF(ISNUMBER(Datos!Q16),Datos!Q16," - ")</f>
        <v>48</v>
      </c>
      <c r="AD16" s="343"/>
      <c r="AE16" s="515"/>
      <c r="AF16" s="648">
        <f>IF(ISNUMBER(IF(D_I="SI",Datos!L16,Datos!L16+Datos!AF16)),IF(D_I="SI",Datos!L16,Datos!L16+Datos!AF16)," - ")</f>
        <v>1577</v>
      </c>
      <c r="AG16" s="343"/>
      <c r="AH16" s="343"/>
      <c r="AI16" s="343"/>
      <c r="AJ16" s="503"/>
      <c r="AK16" s="343"/>
      <c r="AL16" s="499"/>
      <c r="AM16" s="344">
        <f>IF(ISNUMBER(Datos!R16),Datos!R16," - ")</f>
        <v>243</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104</v>
      </c>
      <c r="BD16" s="233">
        <f>IF(ISNUMBER(Datos!N16),Datos!N16," - ")</f>
        <v>682</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0.89661654135338342</v>
      </c>
      <c r="BH16" s="669">
        <f>IF(ISNUMBER(((IF(D_I="SI",Datos!L16/Datos!K16,(Datos!L16+Datos!AF16)/(Datos!K16+Datos!AE16)))*11)/factor_trimestre),((IF(D_I="SI",Datos!L16/Datos!K16,(Datos!L16+Datos!AF16)/(Datos!K16+Datos!AE16)))*11)/factor_trimestre," - ")</f>
        <v>3.3060796645702299</v>
      </c>
      <c r="BI16" s="247">
        <f>IF(ISNUMBER('Resol  Asuntos'!D16/NºAsuntos!G16),'Resol  Asuntos'!D16/NºAsuntos!G16," - ")</f>
        <v>0.1090146750524109</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181.81818181818181</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264</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135</v>
      </c>
      <c r="AC17" s="501">
        <f>IF(ISNUMBER(Datos!Q17),Datos!Q17," - ")</f>
        <v>0</v>
      </c>
      <c r="AD17" s="503"/>
      <c r="AE17" s="515"/>
      <c r="AF17" s="505">
        <f>IF(ISNUMBER(Datos!L17),Datos!L17,"-")</f>
        <v>220</v>
      </c>
      <c r="AG17" s="503"/>
      <c r="AH17" s="503"/>
      <c r="AI17" s="503"/>
      <c r="AJ17" s="503"/>
      <c r="AK17" s="503"/>
      <c r="AL17" s="504"/>
      <c r="AM17" s="671">
        <f>IF(ISNUMBER(Datos!R17),Datos!R17," - ")</f>
        <v>3</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6</v>
      </c>
      <c r="BD17" s="619">
        <f>IF(ISNUMBER(Datos!N17),Datos!N17," - ")</f>
        <v>106</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1.4835164835164836</v>
      </c>
      <c r="BH17" s="669">
        <f>IF(ISNUMBER(((IF(D_I="SI",Datos!L17/Datos!K17,(Datos!L17+Datos!AF17)/(Datos!K17+Datos!AE17)))*11)/factor_trimestre),((IF(D_I="SI",Datos!L17/Datos!K17,(Datos!L17+Datos!AF17)/(Datos!K17+Datos!AE17)))*11)/factor_trimestre," - ")</f>
        <v>3.2592592592592591</v>
      </c>
      <c r="BI17" s="668">
        <f>IF(ISNUMBER('Resol  Asuntos'!D17/NºAsuntos!G17),'Resol  Asuntos'!D17/NºAsuntos!G17," - ")</f>
        <v>4.4444444444444446E-2</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290.90909090909093</v>
      </c>
    </row>
    <row r="18" spans="1:74" ht="15.75" thickTop="1" thickBot="1">
      <c r="A18" s="182"/>
      <c r="B18" s="182"/>
      <c r="C18" s="1009" t="str">
        <f>Datos!A18</f>
        <v>TOTAL</v>
      </c>
      <c r="D18" s="1043"/>
      <c r="E18" s="1329">
        <f>SUBTOTAL(9,E15:E17)</f>
        <v>5</v>
      </c>
      <c r="F18" s="1044">
        <f>SUBTOTAL(9,F15:F17)</f>
        <v>1467</v>
      </c>
      <c r="G18" s="1044">
        <f>SUBTOTAL(9,G15:G17)</f>
        <v>1723</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45</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1089</v>
      </c>
      <c r="AC18" s="1045">
        <f t="shared" si="4"/>
        <v>48</v>
      </c>
      <c r="AD18" s="1045">
        <f t="shared" si="4"/>
        <v>0</v>
      </c>
      <c r="AE18" s="1045">
        <f t="shared" si="4"/>
        <v>0</v>
      </c>
      <c r="AF18" s="1045">
        <f t="shared" si="4"/>
        <v>1797</v>
      </c>
      <c r="AG18" s="1045">
        <f t="shared" si="4"/>
        <v>0</v>
      </c>
      <c r="AH18" s="1045">
        <f t="shared" si="4"/>
        <v>0</v>
      </c>
      <c r="AI18" s="1045">
        <f t="shared" si="4"/>
        <v>0</v>
      </c>
      <c r="AJ18" s="1045">
        <f t="shared" si="4"/>
        <v>0</v>
      </c>
      <c r="AK18" s="1045">
        <f t="shared" si="4"/>
        <v>0</v>
      </c>
      <c r="AL18" s="1045">
        <f t="shared" si="4"/>
        <v>0</v>
      </c>
      <c r="AM18" s="1045">
        <f t="shared" si="4"/>
        <v>246</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110</v>
      </c>
      <c r="BD18" s="1045">
        <f t="shared" si="4"/>
        <v>788</v>
      </c>
      <c r="BE18" s="1045">
        <f t="shared" si="4"/>
        <v>0</v>
      </c>
      <c r="BF18" s="1045">
        <f t="shared" si="4"/>
        <v>0</v>
      </c>
      <c r="BG18" s="1045">
        <f>IF(ISNUMBER(Datos!K18/Datos!J18),Datos!K18/Datos!J18," - ")</f>
        <v>0.94285714285714284</v>
      </c>
      <c r="BH18" s="1049">
        <f>IF(ISNUMBER(((Datos!L18/Datos!K18)*11)/factor_trimestre),((Datos!L18/Datos!K18)*11)/factor_trimestre," - ")</f>
        <v>3.3002754820936633</v>
      </c>
      <c r="BI18" s="1045">
        <f>SUBTOTAL(9,BI15:BI17)</f>
        <v>0.15345911949685534</v>
      </c>
      <c r="BJ18" s="1045">
        <f>SUBTOTAL(9,BJ15:BJ17)</f>
        <v>0</v>
      </c>
      <c r="BK18" s="1045">
        <f>SUBTOTAL(9,BK15:BK17)</f>
        <v>0</v>
      </c>
      <c r="BL18" s="1045">
        <f>IF(ISNUMBER((I18-AB18+L18)/(F18)),(I18-AB18+L18)/(F18)," - ")</f>
        <v>-0.74233128834355833</v>
      </c>
      <c r="BM18" s="1051">
        <f>IF(ISNUMBER((Datos!P18-Datos!Q18)/(Datos!R18-Datos!P18+Datos!Q18)),(Datos!P18-Datos!Q18)/(Datos!R18-Datos!P18+Datos!Q18)," - ")</f>
        <v>-1.2048192771084338E-2</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1072.7272727272727</v>
      </c>
    </row>
    <row r="19" spans="1:74" ht="18.75" customHeight="1" thickTop="1" thickBot="1">
      <c r="A19" s="176"/>
      <c r="B19" s="176"/>
      <c r="C19" s="964" t="str">
        <f>Datos!A19</f>
        <v>TOTAL JURISDICCIONES</v>
      </c>
      <c r="D19" s="964"/>
      <c r="E19" s="1331">
        <f t="shared" ref="E19:R19" si="6">SUBTOTAL(9,E9:E18)</f>
        <v>10</v>
      </c>
      <c r="F19" s="966">
        <f t="shared" si="6"/>
        <v>1481</v>
      </c>
      <c r="G19" s="966">
        <f t="shared" si="6"/>
        <v>1737</v>
      </c>
      <c r="H19" s="968">
        <f t="shared" si="6"/>
        <v>0</v>
      </c>
      <c r="I19" s="966">
        <f t="shared" si="6"/>
        <v>0</v>
      </c>
      <c r="J19" s="968">
        <f t="shared" si="6"/>
        <v>0</v>
      </c>
      <c r="K19" s="968">
        <f t="shared" si="6"/>
        <v>0</v>
      </c>
      <c r="L19" s="1027">
        <f t="shared" si="6"/>
        <v>0</v>
      </c>
      <c r="M19" s="1027">
        <f t="shared" si="6"/>
        <v>0</v>
      </c>
      <c r="N19" s="1027">
        <f t="shared" si="6"/>
        <v>89</v>
      </c>
      <c r="O19" s="1027">
        <f t="shared" si="6"/>
        <v>0</v>
      </c>
      <c r="P19" s="1027">
        <f t="shared" si="6"/>
        <v>0</v>
      </c>
      <c r="Q19" s="968">
        <f t="shared" si="6"/>
        <v>220</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1093</v>
      </c>
      <c r="AC19" s="967">
        <f t="shared" si="7"/>
        <v>355</v>
      </c>
      <c r="AD19" s="967">
        <f t="shared" si="7"/>
        <v>0</v>
      </c>
      <c r="AE19" s="967">
        <f t="shared" si="7"/>
        <v>0</v>
      </c>
      <c r="AF19" s="974">
        <f t="shared" si="7"/>
        <v>1811</v>
      </c>
      <c r="AG19" s="974">
        <f t="shared" si="7"/>
        <v>0</v>
      </c>
      <c r="AH19" s="974">
        <f t="shared" si="7"/>
        <v>64</v>
      </c>
      <c r="AI19" s="974">
        <f t="shared" si="7"/>
        <v>0</v>
      </c>
      <c r="AJ19" s="967">
        <f t="shared" si="7"/>
        <v>0</v>
      </c>
      <c r="AK19" s="974">
        <f t="shared" si="7"/>
        <v>0</v>
      </c>
      <c r="AL19" s="974">
        <f t="shared" si="7"/>
        <v>0</v>
      </c>
      <c r="AM19" s="974">
        <f t="shared" si="7"/>
        <v>5217</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281</v>
      </c>
      <c r="BD19" s="966">
        <f t="shared" si="7"/>
        <v>1126</v>
      </c>
      <c r="BE19" s="966">
        <f t="shared" si="7"/>
        <v>0</v>
      </c>
      <c r="BF19" s="976">
        <f t="shared" si="7"/>
        <v>0</v>
      </c>
      <c r="BG19" s="1061">
        <f>IF(ISNUMBER(Datos!K19/Datos!J19),Datos!K19/Datos!J19," - ")</f>
        <v>0.91085450346420327</v>
      </c>
      <c r="BH19" s="1061">
        <f>IF(ISNUMBER(((Datos!L19/Datos!K19)*11)/factor_trimestre),((Datos!L19/Datos!K19)*11)/factor_trimestre," - ")</f>
        <v>4.0385395537525355</v>
      </c>
      <c r="BI19" s="959">
        <f>IF(ISNUMBER(Datos!J19/Datos!I19),Datos!J19/Datos!I19," - ")</f>
        <v>0.57199471598414797</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-0.73801485482781903</v>
      </c>
      <c r="BM19" s="1035">
        <f>IF(ISNUMBER((Datos!P19-Datos!Q19+R19)/(Datos!R19-Datos!P19+Datos!Q19-R19)),(Datos!P19-Datos!Q19+R19)/(Datos!R19-Datos!P19+Datos!Q19-R19)," - ")</f>
        <v>-2.5224215246636771E-2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1946</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694.8</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2.6352313834736494</v>
      </c>
      <c r="F21" s="599">
        <f>IF(ISNUMBER(STDEV(F8:F18)),STDEV(F8:F18),"-")</f>
        <v>838.88994113252625</v>
      </c>
      <c r="G21" s="600">
        <f>IF(ISNUMBER(STDEV(G8:G18)),STDEV(G8:G18),"-")</f>
        <v>829.72326711982714</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538.18556279409802</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75.885879231031296</v>
      </c>
      <c r="BD21" s="599"/>
      <c r="BE21" s="599">
        <f>IF(ISNUMBER(STDEV(BE8:BE18)),STDEV(BE8:BE18),"-")</f>
        <v>0</v>
      </c>
      <c r="BF21" s="604">
        <f>IF(ISNUMBER(STDEV(BF8:BF18)),STDEV(BF8:BF18),"-")</f>
        <v>0</v>
      </c>
      <c r="BG21" s="914">
        <f>IF(ISNUMBER(STDEV(BG8:BG18)),STDEV(BG8:BG18),"-")</f>
        <v>0.23373705641103157</v>
      </c>
      <c r="BH21" s="918">
        <f>IF(ISNUMBER(STDEV(BH8:BH18)),STDEV(BH8:BH18),"-")</f>
        <v>1.4693320614038194</v>
      </c>
      <c r="BI21" s="253">
        <f>IF(ISNUMBER(STDEV(BI8:BI18)),STDEV(BI8:BI18),"-")</f>
        <v>5.7274342221636743E-2</v>
      </c>
      <c r="BJ21" s="234" t="str">
        <f>IF(ISNUMBER(BL21/BM21),BL21/BM21," - ")</f>
        <v xml:space="preserve"> - </v>
      </c>
      <c r="BK21" s="626"/>
      <c r="BL21" s="607">
        <f>IF(ISNUMBER(STDEV(BL8:BL18)),STDEV(BL8:BL18),"-")</f>
        <v>0.32287697896423423</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337.88694513865602</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29 nov. 2023</v>
      </c>
    </row>
    <row r="32" spans="1:74">
      <c r="C32" s="572"/>
      <c r="D32" s="573"/>
    </row>
  </sheetData>
  <sheetProtection algorithmName="SHA-512" hashValue="v0TfMVHTigIXDNWXygyaaqIw11TpFXLW6/WWzPCO7NDNUlbRCN7Qdrfamid1xE5UrEcS5FRqiU+wNTnvlBmyRg==" saltValue="KfkEoKJpennhjka6mXxf4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EXTREMADURA</v>
      </c>
    </row>
    <row r="2" spans="1:73" ht="16.5" customHeight="1">
      <c r="C2" s="574" t="str">
        <f>Criterios!A10 &amp;"  "&amp;Criterios!B10 &amp; "  " &amp; IF(NOT(ISBLANK(Criterios!A11)),Criterios!A11 &amp;"  "&amp;Criterios!B11,"")</f>
        <v>Provincias  BADAJOZ  Resumenes por Partidos Judiciales  MERIDA</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42" t="s">
        <v>354</v>
      </c>
      <c r="B5" s="276"/>
      <c r="C5" s="1697" t="str">
        <f>"Año:  " &amp;Criterios!B$5 &amp; "          Trimestre   " &amp;Criterios!D$5 &amp; " al " &amp;Criterios!D$6</f>
        <v>Año:  2023          Trimestre   3 al 3</v>
      </c>
      <c r="D5" s="1699" t="s">
        <v>380</v>
      </c>
      <c r="E5" s="1659" t="s">
        <v>564</v>
      </c>
      <c r="F5" s="1688" t="s">
        <v>410</v>
      </c>
      <c r="G5" s="1659" t="s">
        <v>128</v>
      </c>
      <c r="H5" s="1659" t="s">
        <v>594</v>
      </c>
      <c r="I5" s="1659" t="s">
        <v>565</v>
      </c>
      <c r="J5" s="1659" t="s">
        <v>691</v>
      </c>
      <c r="K5" s="1659" t="s">
        <v>566</v>
      </c>
      <c r="L5" s="1659" t="s">
        <v>592</v>
      </c>
      <c r="M5" s="1659" t="s">
        <v>692</v>
      </c>
      <c r="N5" s="1659" t="s">
        <v>591</v>
      </c>
      <c r="O5" s="1659" t="s">
        <v>618</v>
      </c>
      <c r="P5" s="1694" t="s">
        <v>684</v>
      </c>
      <c r="Q5" s="1694" t="s">
        <v>686</v>
      </c>
      <c r="R5" s="1659" t="s">
        <v>598</v>
      </c>
      <c r="S5" s="1659" t="s">
        <v>567</v>
      </c>
      <c r="T5" s="1659" t="s">
        <v>779</v>
      </c>
      <c r="U5" s="1659" t="s">
        <v>780</v>
      </c>
      <c r="V5" s="1662" t="s">
        <v>675</v>
      </c>
      <c r="W5" s="1677" t="s">
        <v>580</v>
      </c>
      <c r="X5" s="1680" t="s">
        <v>581</v>
      </c>
      <c r="Y5" s="1656" t="s">
        <v>599</v>
      </c>
      <c r="Z5" s="1656" t="s">
        <v>619</v>
      </c>
      <c r="AA5" s="1659" t="s">
        <v>571</v>
      </c>
      <c r="AB5" s="1659" t="s">
        <v>582</v>
      </c>
      <c r="AC5" s="1659" t="s">
        <v>583</v>
      </c>
      <c r="AD5" s="1659" t="s">
        <v>537</v>
      </c>
      <c r="AE5" s="1659" t="s">
        <v>693</v>
      </c>
      <c r="AF5" s="1659" t="s">
        <v>184</v>
      </c>
      <c r="AG5" s="1659" t="s">
        <v>584</v>
      </c>
      <c r="AH5" s="1659" t="s">
        <v>572</v>
      </c>
      <c r="AI5" s="1659" t="s">
        <v>573</v>
      </c>
      <c r="AJ5" s="1659" t="s">
        <v>585</v>
      </c>
      <c r="AK5" s="1659" t="s">
        <v>586</v>
      </c>
      <c r="AL5" s="1659" t="s">
        <v>587</v>
      </c>
      <c r="AM5" s="1674" t="s">
        <v>588</v>
      </c>
      <c r="AN5" s="1659" t="s">
        <v>252</v>
      </c>
      <c r="AO5" s="1659" t="s">
        <v>575</v>
      </c>
      <c r="AP5" s="1659" t="s">
        <v>576</v>
      </c>
      <c r="AQ5" s="1659" t="s">
        <v>600</v>
      </c>
      <c r="AR5" s="1659" t="s">
        <v>601</v>
      </c>
      <c r="AS5" s="1659" t="s">
        <v>603</v>
      </c>
      <c r="AT5" s="1659" t="s">
        <v>596</v>
      </c>
      <c r="AU5" s="1659" t="s">
        <v>850</v>
      </c>
      <c r="AV5" s="1659" t="s">
        <v>336</v>
      </c>
      <c r="AW5" s="1659" t="s">
        <v>589</v>
      </c>
      <c r="AX5" s="1659" t="s">
        <v>542</v>
      </c>
      <c r="BU5" s="1659" t="s">
        <v>781</v>
      </c>
    </row>
    <row r="6" spans="1:73" ht="21.75" customHeight="1">
      <c r="A6" s="1443"/>
      <c r="B6" s="277"/>
      <c r="C6" s="1698"/>
      <c r="D6" s="1700"/>
      <c r="E6" s="1660"/>
      <c r="F6" s="1689"/>
      <c r="G6" s="1660"/>
      <c r="H6" s="1660"/>
      <c r="I6" s="1660"/>
      <c r="J6" s="1660"/>
      <c r="K6" s="1660"/>
      <c r="L6" s="1660"/>
      <c r="M6" s="1660"/>
      <c r="N6" s="1660"/>
      <c r="O6" s="1660"/>
      <c r="P6" s="1695"/>
      <c r="Q6" s="1695"/>
      <c r="R6" s="1660"/>
      <c r="S6" s="1660"/>
      <c r="T6" s="1660"/>
      <c r="U6" s="1660"/>
      <c r="V6" s="1663"/>
      <c r="W6" s="1678"/>
      <c r="X6" s="1681"/>
      <c r="Y6" s="1657"/>
      <c r="Z6" s="1657"/>
      <c r="AA6" s="1660"/>
      <c r="AB6" s="1660"/>
      <c r="AC6" s="1660"/>
      <c r="AD6" s="1660"/>
      <c r="AE6" s="1660"/>
      <c r="AF6" s="1660"/>
      <c r="AG6" s="1660"/>
      <c r="AH6" s="1660"/>
      <c r="AI6" s="1660"/>
      <c r="AJ6" s="1660"/>
      <c r="AK6" s="1660"/>
      <c r="AL6" s="1660"/>
      <c r="AM6" s="1675"/>
      <c r="AN6" s="1660"/>
      <c r="AO6" s="1660"/>
      <c r="AP6" s="1660"/>
      <c r="AQ6" s="1660"/>
      <c r="AR6" s="1660"/>
      <c r="AS6" s="1660"/>
      <c r="AT6" s="1660"/>
      <c r="AU6" s="1660"/>
      <c r="AV6" s="1660"/>
      <c r="AW6" s="1660"/>
      <c r="AX6" s="1660"/>
      <c r="BU6" s="1660"/>
    </row>
    <row r="7" spans="1:73" ht="38.25" customHeight="1" thickBot="1">
      <c r="A7" s="1444"/>
      <c r="B7" s="278"/>
      <c r="C7" s="575" t="str">
        <f>Datos!A7</f>
        <v>COMPETENCIAS</v>
      </c>
      <c r="D7" s="1701"/>
      <c r="E7" s="1661"/>
      <c r="F7" s="1690"/>
      <c r="G7" s="1661"/>
      <c r="H7" s="1661"/>
      <c r="I7" s="1661"/>
      <c r="J7" s="1661"/>
      <c r="K7" s="1661"/>
      <c r="L7" s="1661"/>
      <c r="M7" s="1661"/>
      <c r="N7" s="1661"/>
      <c r="O7" s="1661"/>
      <c r="P7" s="1696"/>
      <c r="Q7" s="1696"/>
      <c r="R7" s="1661"/>
      <c r="S7" s="1661"/>
      <c r="T7" s="1661"/>
      <c r="U7" s="1661"/>
      <c r="V7" s="1664"/>
      <c r="W7" s="1679"/>
      <c r="X7" s="1682"/>
      <c r="Y7" s="1658"/>
      <c r="Z7" s="1658"/>
      <c r="AA7" s="1661"/>
      <c r="AB7" s="1661"/>
      <c r="AC7" s="1661"/>
      <c r="AD7" s="1661"/>
      <c r="AE7" s="1661"/>
      <c r="AF7" s="1661"/>
      <c r="AG7" s="1661"/>
      <c r="AH7" s="1661"/>
      <c r="AI7" s="1661"/>
      <c r="AJ7" s="1661"/>
      <c r="AK7" s="1661"/>
      <c r="AL7" s="1661"/>
      <c r="AM7" s="1676"/>
      <c r="AN7" s="1661"/>
      <c r="AO7" s="1661"/>
      <c r="AP7" s="1661"/>
      <c r="AQ7" s="1661"/>
      <c r="AR7" s="1661"/>
      <c r="AS7" s="1661"/>
      <c r="AT7" s="1661"/>
      <c r="AU7" s="1661"/>
      <c r="AV7" s="1661"/>
      <c r="AW7" s="1661"/>
      <c r="AX7" s="1661"/>
      <c r="BU7" s="1661"/>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218.18181818181819</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14</v>
      </c>
      <c r="G10" s="506">
        <f>IF(ISNUMBER(Datos!I10),Datos!I10," - ")</f>
        <v>14</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4</v>
      </c>
      <c r="Z10" s="703">
        <f>IF(ISNUMBER(Datos!Q10),Datos!Q10," - ")</f>
        <v>0</v>
      </c>
      <c r="AA10" s="505">
        <f>IF(ISNUMBER(Datos!L10),Datos!L10,"-")</f>
        <v>14</v>
      </c>
      <c r="AB10" s="503"/>
      <c r="AC10" s="503"/>
      <c r="AD10" s="516"/>
      <c r="AE10" s="516">
        <f>IF(ISNUMBER(Datos!R10),Datos!R10," - ")</f>
        <v>0</v>
      </c>
      <c r="AF10" s="619" t="str">
        <f>IF(ISNUMBER(Datos!BV10),Datos!BV10," - ")</f>
        <v xml:space="preserve"> - </v>
      </c>
      <c r="AG10" s="506" t="str">
        <f>IF(ISNUMBER(Datos!DV10),Datos!DV10," - ")</f>
        <v xml:space="preserve"> - </v>
      </c>
      <c r="AH10" s="507"/>
      <c r="AI10" s="508"/>
      <c r="AJ10" s="506">
        <f>IF(ISNUMBER(Datos!M10),Datos!M10," - ")</f>
        <v>0</v>
      </c>
      <c r="AK10" s="619">
        <f>IF(ISNUMBER(Datos!N10),Datos!N10," - ")</f>
        <v>0</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7</v>
      </c>
      <c r="AP10" s="509" t="str">
        <f>IF(ISNUMBER(Datos!CI10/Datos!CJ10),Datos!CI10/Datos!CJ10," - ")</f>
        <v xml:space="preserve"> - </v>
      </c>
      <c r="AQ10" s="509" t="str">
        <f>IF(ISNUMBER((I10-Y10+K10)/(F10)),(I10-Y10+K10)/(F10)," - ")</f>
        <v xml:space="preserve"> - </v>
      </c>
      <c r="AR10" s="509" t="str">
        <f>IF(ISNUMBER((Datos!P10-Datos!Q10+Datos!DE10)/(Datos!R10-Datos!P10+Datos!Q10-Datos!DE10)),(Datos!P10-Datos!Q10+Datos!DE10)/(Datos!R10-Datos!P10+Datos!Q10-Datos!DE10)," - ")</f>
        <v xml:space="preserve"> - </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290.90909090909093</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240.54545454545453</v>
      </c>
    </row>
    <row r="12" spans="1:73" s="531" customFormat="1" ht="15" thickBot="1">
      <c r="A12" s="652">
        <f>Datos!AO12</f>
        <v>5</v>
      </c>
      <c r="B12" s="653" t="s">
        <v>249</v>
      </c>
      <c r="C12" s="654" t="str">
        <f>Datos!A12</f>
        <v xml:space="preserve">Jdos. 1ª Instª. e Instr.                        </v>
      </c>
      <c r="D12" s="548"/>
      <c r="E12" s="1333">
        <f>IF(ISNUMBER(Datos!AQ12),Datos!AQ12," - ")</f>
        <v>5</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175</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307</v>
      </c>
      <c r="AA12" s="505" t="str">
        <f>IF(ISNUMBER(IF(J_V="SI",Datos!L12,Datos!L12+Datos!AB12)-IF(Monitorios="SI",Datos!CD12,0)),
                          IF(J_V="SI",Datos!L12,Datos!L12+Datos!AB12)-IF(Monitorios="SI",Datos!CD12,0),
                          " - ")</f>
        <v xml:space="preserve"> - </v>
      </c>
      <c r="AB12" s="503"/>
      <c r="AC12" s="503"/>
      <c r="AD12" s="516"/>
      <c r="AE12" s="516">
        <f>IF(ISNUMBER(Datos!R12),Datos!R12," - ")</f>
        <v>4971</v>
      </c>
      <c r="AF12" s="619" t="str">
        <f>IF(ISNUMBER(Datos!BV12),Datos!BV12," - ")</f>
        <v xml:space="preserve"> - </v>
      </c>
      <c r="AG12" s="506" t="str">
        <f>IF(ISNUMBER(Datos!DV12),Datos!DV12," - ")</f>
        <v xml:space="preserve"> - </v>
      </c>
      <c r="AH12" s="507"/>
      <c r="AI12" s="508"/>
      <c r="AJ12" s="506">
        <f>IF(ISNUMBER(Datos!M12),Datos!M12," - ")</f>
        <v>171</v>
      </c>
      <c r="AK12" s="619">
        <f>IF(ISNUMBER(Datos!N12),Datos!N12," - ")</f>
        <v>338</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4.5612244897959187</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-2.5867136978248089E-2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123.63636363636364</v>
      </c>
    </row>
    <row r="13" spans="1:73" ht="15.75" thickTop="1" thickBot="1">
      <c r="A13" s="182"/>
      <c r="B13" s="182"/>
      <c r="C13" s="1009" t="str">
        <f>Datos!A13</f>
        <v>TOTAL</v>
      </c>
      <c r="D13" s="1009"/>
      <c r="E13" s="1044">
        <f>SUBTOTAL(9,E8:E12)</f>
        <v>5</v>
      </c>
      <c r="F13" s="1044">
        <f>SUBTOTAL(9,F8:F12)</f>
        <v>14</v>
      </c>
      <c r="G13" s="1044">
        <f>SUBTOTAL(9,G8:G12)</f>
        <v>14</v>
      </c>
      <c r="H13" s="1054"/>
      <c r="I13" s="1044">
        <f t="shared" ref="I13:N13" si="0">SUBTOTAL(9,I8:I12)</f>
        <v>0</v>
      </c>
      <c r="J13" s="1013">
        <f t="shared" si="0"/>
        <v>0</v>
      </c>
      <c r="K13" s="1054">
        <f t="shared" si="0"/>
        <v>0</v>
      </c>
      <c r="L13" s="1054">
        <f t="shared" si="0"/>
        <v>0</v>
      </c>
      <c r="M13" s="1054">
        <f t="shared" si="0"/>
        <v>0</v>
      </c>
      <c r="N13" s="1054">
        <f t="shared" si="0"/>
        <v>175</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4</v>
      </c>
      <c r="Z13" s="1053">
        <f t="shared" si="2"/>
        <v>307</v>
      </c>
      <c r="AA13" s="1046">
        <f t="shared" si="2"/>
        <v>14</v>
      </c>
      <c r="AB13" s="1046">
        <f t="shared" si="2"/>
        <v>0</v>
      </c>
      <c r="AC13" s="1046">
        <f t="shared" si="2"/>
        <v>0</v>
      </c>
      <c r="AD13" s="1046">
        <f t="shared" si="2"/>
        <v>0</v>
      </c>
      <c r="AE13" s="1046">
        <f t="shared" si="2"/>
        <v>4971</v>
      </c>
      <c r="AF13" s="1054">
        <f t="shared" si="2"/>
        <v>0</v>
      </c>
      <c r="AG13" s="1054">
        <f t="shared" si="2"/>
        <v>0</v>
      </c>
      <c r="AH13" s="1054">
        <f t="shared" si="2"/>
        <v>0</v>
      </c>
      <c r="AI13" s="1054">
        <f t="shared" si="2"/>
        <v>0</v>
      </c>
      <c r="AJ13" s="1054">
        <f t="shared" si="2"/>
        <v>171</v>
      </c>
      <c r="AK13" s="1054">
        <f t="shared" si="2"/>
        <v>338</v>
      </c>
      <c r="AL13" s="1054">
        <f t="shared" si="2"/>
        <v>0</v>
      </c>
      <c r="AM13" s="1054">
        <f t="shared" si="2"/>
        <v>0</v>
      </c>
      <c r="AN13" s="1054">
        <f t="shared" si="2"/>
        <v>0</v>
      </c>
      <c r="AO13" s="1050">
        <f>IF(ISNUMBER(((NºAsuntos!I13/NºAsuntos!G13)*11)/factor_trimestre),((NºAsuntos!I13/NºAsuntos!G13)*11)/factor_trimestre," - ")</f>
        <v>4.571138211382114</v>
      </c>
      <c r="AP13" s="1056" t="str">
        <f>IF(ISNUMBER(Datos!CI13/Datos!CJ13),Datos!CI13/Datos!CJ13," - ")</f>
        <v xml:space="preserve"> - </v>
      </c>
      <c r="AQ13" s="1074">
        <f t="shared" ref="AQ13:AV13" si="3">SUBTOTAL(9,AQ9:AQ12)</f>
        <v>0</v>
      </c>
      <c r="AR13" s="1074">
        <f t="shared" si="3"/>
        <v>-2.5867136978248089E-2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600</v>
      </c>
    </row>
    <row r="16" spans="1:73" s="531" customFormat="1" ht="14.25">
      <c r="A16" s="652">
        <f>Datos!AO16</f>
        <v>5</v>
      </c>
      <c r="B16" s="653" t="s">
        <v>400</v>
      </c>
      <c r="C16" s="670" t="str">
        <f>Datos!A16</f>
        <v xml:space="preserve">Jdos. 1ª Instª. e Instr.                        </v>
      </c>
      <c r="D16" s="543"/>
      <c r="E16" s="1333">
        <f>IF(ISNUMBER(Datos!AQ16),Datos!AQ16," - ")</f>
        <v>5</v>
      </c>
      <c r="F16" s="497">
        <f>IF(ISNUMBER(AA16+Y16-Datos!J16-K15),AA16+Y16-Datos!J16-K15," - ")</f>
        <v>1467</v>
      </c>
      <c r="G16" s="506">
        <f>IF(ISNUMBER(IF(D_I="SI",Datos!I16,Datos!I16+Datos!AC16)),IF(D_I="SI",Datos!I16,Datos!I16+Datos!AC16)," - ")</f>
        <v>1459</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45</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954</v>
      </c>
      <c r="Z16" s="703">
        <f>IF(ISNUMBER(Datos!Q16),Datos!Q16," - ")</f>
        <v>48</v>
      </c>
      <c r="AA16" s="505">
        <f>IF(ISNUMBER(IF(D_I="SI",Datos!L16,Datos!L16+Datos!AF16)),IF(D_I="SI",Datos!L16,Datos!L16+Datos!AF16)," - ")</f>
        <v>1577</v>
      </c>
      <c r="AB16" s="503"/>
      <c r="AC16" s="503"/>
      <c r="AD16" s="516"/>
      <c r="AE16" s="516">
        <f>IF(ISNUMBER(Datos!R16),Datos!R16," - ")</f>
        <v>243</v>
      </c>
      <c r="AF16" s="619" t="str">
        <f>IF(ISNUMBER(Datos!BV16),Datos!BV16," - ")</f>
        <v xml:space="preserve"> - </v>
      </c>
      <c r="AG16" s="506"/>
      <c r="AH16" s="507"/>
      <c r="AI16" s="508"/>
      <c r="AJ16" s="506">
        <f>IF(ISNUMBER(Datos!M16),Datos!M16," - ")</f>
        <v>104</v>
      </c>
      <c r="AK16" s="619">
        <f>IF(ISNUMBER(Datos!N16),Datos!N16," - ")</f>
        <v>682</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3.3060796645702299</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181.81818181818181</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264</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135</v>
      </c>
      <c r="Z17" s="703">
        <f>IF(ISNUMBER(Datos!Q17),Datos!Q17," - ")</f>
        <v>0</v>
      </c>
      <c r="AA17" s="505">
        <f>IF(ISNUMBER(Datos!L17),Datos!L17,"-")</f>
        <v>220</v>
      </c>
      <c r="AB17" s="503"/>
      <c r="AC17" s="503"/>
      <c r="AD17" s="516"/>
      <c r="AE17" s="516">
        <f>IF(ISNUMBER(Datos!R17),Datos!R17," - ")</f>
        <v>3</v>
      </c>
      <c r="AF17" s="619" t="str">
        <f>IF(ISNUMBER(Datos!BV17),Datos!BV17," - ")</f>
        <v xml:space="preserve"> - </v>
      </c>
      <c r="AG17" s="506" t="str">
        <f>IF(ISNUMBER(Datos!DV17),Datos!DV17," - ")</f>
        <v xml:space="preserve"> - </v>
      </c>
      <c r="AH17" s="507"/>
      <c r="AI17" s="508"/>
      <c r="AJ17" s="506">
        <f>IF(ISNUMBER(Datos!M17),Datos!M17," - ")</f>
        <v>6</v>
      </c>
      <c r="AK17" s="619">
        <f>IF(ISNUMBER(Datos!N17),Datos!N17," - ")</f>
        <v>106</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3.2592592592592591</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290.90909090909093</v>
      </c>
    </row>
    <row r="18" spans="1:73" ht="15.75" thickTop="1" thickBot="1">
      <c r="A18" s="182"/>
      <c r="B18" s="182"/>
      <c r="C18" s="1009" t="str">
        <f>Datos!A18</f>
        <v>TOTAL</v>
      </c>
      <c r="D18" s="1009"/>
      <c r="E18" s="1334">
        <f>SUBTOTAL(9,E15:E17)</f>
        <v>5</v>
      </c>
      <c r="F18" s="1044">
        <f>SUBTOTAL(9,F15:F17)</f>
        <v>1467</v>
      </c>
      <c r="G18" s="1044">
        <f>SUBTOTAL(9,G15:G17)</f>
        <v>1723</v>
      </c>
      <c r="H18" s="1078">
        <f>SUBTOTAL(9,H15:H17)</f>
        <v>0</v>
      </c>
      <c r="I18" s="1057">
        <f>SUBTOTAL(9,I15:I17)</f>
        <v>0</v>
      </c>
      <c r="J18" s="1013">
        <f>SUBTOTAL(9,J14:J17)</f>
        <v>0</v>
      </c>
      <c r="K18" s="1078">
        <f t="shared" ref="K18:S18" si="4">SUBTOTAL(9,K15:K17)</f>
        <v>0</v>
      </c>
      <c r="L18" s="1078">
        <f t="shared" si="4"/>
        <v>0</v>
      </c>
      <c r="M18" s="1078">
        <f t="shared" si="4"/>
        <v>0</v>
      </c>
      <c r="N18" s="1078">
        <f t="shared" si="4"/>
        <v>45</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1089</v>
      </c>
      <c r="Z18" s="1078">
        <f t="shared" si="5"/>
        <v>48</v>
      </c>
      <c r="AA18" s="1078">
        <f t="shared" si="5"/>
        <v>1797</v>
      </c>
      <c r="AB18" s="1078">
        <f t="shared" si="5"/>
        <v>0</v>
      </c>
      <c r="AC18" s="1078">
        <f t="shared" si="5"/>
        <v>0</v>
      </c>
      <c r="AD18" s="1078">
        <f t="shared" si="5"/>
        <v>0</v>
      </c>
      <c r="AE18" s="1078">
        <f t="shared" si="5"/>
        <v>246</v>
      </c>
      <c r="AF18" s="1078">
        <f t="shared" si="5"/>
        <v>0</v>
      </c>
      <c r="AG18" s="1078">
        <f t="shared" si="5"/>
        <v>0</v>
      </c>
      <c r="AH18" s="1078">
        <f t="shared" si="5"/>
        <v>0</v>
      </c>
      <c r="AI18" s="1078">
        <f t="shared" si="5"/>
        <v>0</v>
      </c>
      <c r="AJ18" s="1078">
        <f t="shared" si="5"/>
        <v>110</v>
      </c>
      <c r="AK18" s="1078">
        <f t="shared" si="5"/>
        <v>788</v>
      </c>
      <c r="AL18" s="1078">
        <f t="shared" si="5"/>
        <v>0</v>
      </c>
      <c r="AM18" s="1078">
        <f t="shared" si="5"/>
        <v>0</v>
      </c>
      <c r="AN18" s="1078">
        <f t="shared" si="5"/>
        <v>0</v>
      </c>
      <c r="AO18" s="1080">
        <f>IF(ISNUMBER(((NºAsuntos!I18/NºAsuntos!G18)*11)/factor_trimestre),((NºAsuntos!I18/NºAsuntos!G18)*11)/factor_trimestre," - ")</f>
        <v>3.3002754820936633</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10</v>
      </c>
      <c r="F19" s="966">
        <f t="shared" si="7"/>
        <v>1481</v>
      </c>
      <c r="G19" s="966">
        <f t="shared" si="7"/>
        <v>1737</v>
      </c>
      <c r="H19" s="967">
        <f t="shared" si="7"/>
        <v>0</v>
      </c>
      <c r="I19" s="966">
        <f t="shared" si="7"/>
        <v>0</v>
      </c>
      <c r="J19" s="968">
        <f t="shared" si="7"/>
        <v>0</v>
      </c>
      <c r="K19" s="966">
        <f t="shared" si="7"/>
        <v>0</v>
      </c>
      <c r="L19" s="969">
        <f t="shared" si="7"/>
        <v>0</v>
      </c>
      <c r="M19" s="966">
        <f t="shared" si="7"/>
        <v>0</v>
      </c>
      <c r="N19" s="967">
        <f t="shared" si="7"/>
        <v>220</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1093</v>
      </c>
      <c r="Z19" s="973">
        <f t="shared" si="8"/>
        <v>355</v>
      </c>
      <c r="AA19" s="974">
        <f t="shared" si="8"/>
        <v>1811</v>
      </c>
      <c r="AB19" s="974">
        <f t="shared" si="8"/>
        <v>0</v>
      </c>
      <c r="AC19" s="974">
        <f t="shared" si="8"/>
        <v>0</v>
      </c>
      <c r="AD19" s="975">
        <f t="shared" si="8"/>
        <v>0</v>
      </c>
      <c r="AE19" s="975">
        <f t="shared" si="8"/>
        <v>5217</v>
      </c>
      <c r="AF19" s="976">
        <f t="shared" si="8"/>
        <v>0</v>
      </c>
      <c r="AG19" s="977">
        <f t="shared" si="8"/>
        <v>0</v>
      </c>
      <c r="AH19" s="978">
        <f t="shared" si="8"/>
        <v>0</v>
      </c>
      <c r="AI19" s="976">
        <f t="shared" si="8"/>
        <v>0</v>
      </c>
      <c r="AJ19" s="966">
        <f t="shared" si="8"/>
        <v>281</v>
      </c>
      <c r="AK19" s="966">
        <f t="shared" si="8"/>
        <v>1126</v>
      </c>
      <c r="AL19" s="966">
        <f t="shared" si="8"/>
        <v>0</v>
      </c>
      <c r="AM19" s="979">
        <f t="shared" si="8"/>
        <v>0</v>
      </c>
      <c r="AN19" s="969">
        <f>IF(ISNUMBER(Datos!K19/Datos!J19),Datos!K19/Datos!J19," - ")</f>
        <v>0.91085450346420327</v>
      </c>
      <c r="AO19" s="969">
        <f>IF(ISNUMBER(FIND("06",Criterios!A8,1)),(IF(ISNUMBER(((Datos!R19/Datos!Q19)*11)/factor_trimestre),((Datos!R19/Datos!Q19)*11)/factor_trimestre," - ")),(IF(ISNUMBER(((Datos!L19/Datos!K19)*11)/factor_trimestre),((Datos!L19/Datos!K19)*11)/factor_trimestre," - ")))</f>
        <v>4.0385395537525355</v>
      </c>
      <c r="AP19" s="980" t="str">
        <f>IF(ISNUMBER(Datos!CI19/Datos!CJ19),Datos!CI19/Datos!CJ19," - ")</f>
        <v xml:space="preserve"> - </v>
      </c>
      <c r="AQ19" s="980">
        <f>IF(OR(ISNUMBER(FIND("01",Criterios!A8,1)),ISNUMBER(FIND("02",Criterios!A8,1)),ISNUMBER(FIND("03",Criterios!A8,1)),ISNUMBER(FIND("04",Criterios!A8,1))),(J19-Y19+K19)/(F19-K19),(I19-Y19+K19)/(F19-K19))</f>
        <v>-0.73801485482781903</v>
      </c>
      <c r="AR19" s="980">
        <f>IF(ISNUMBER((Datos!P19-Datos!Q19+O19)/(Datos!R19-Datos!P19+Datos!Q19-O19)),(Datos!P19-Datos!Q19+O19)/(Datos!R19-Datos!P19+Datos!Q19-O19)," - ")</f>
        <v>-2.5224215246636771E-2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694.8</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838.88994113252625</v>
      </c>
      <c r="G21" s="600">
        <f>IF(ISNUMBER(STDEV(G8:G18)),STDEV(G8:G18),"-")</f>
        <v>829.72326711982714</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75.885879231031296</v>
      </c>
      <c r="AK21" s="256"/>
      <c r="AL21" s="256">
        <f>IF(ISNUMBER(STDEV(AL8:AL18)),STDEV(AL8:AL18),"-")</f>
        <v>0</v>
      </c>
      <c r="AM21" s="258">
        <f>IF(ISNUMBER(STDEV(AM8:AM18)),STDEV(AM8:AM18),"-")</f>
        <v>0</v>
      </c>
      <c r="AN21" s="586">
        <f>IF(ISNUMBER(STDEV(AN8:AN18)),STDEV(AN8:AN18),"-")</f>
        <v>0</v>
      </c>
      <c r="AO21" s="587">
        <f>IF(ISNUMBER(STDEV(AO8:AO18)),STDEV(AO8:AO18),"-")</f>
        <v>1.4488402057443088</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153.88167612790645</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29 nov. 2023</v>
      </c>
    </row>
    <row r="31" spans="1:73">
      <c r="V31" s="1178"/>
    </row>
    <row r="32" spans="1:73" ht="13.5" thickBot="1">
      <c r="C32" s="582"/>
      <c r="D32" s="572"/>
      <c r="E32" s="572"/>
    </row>
    <row r="33" spans="12:12" ht="15" thickBot="1">
      <c r="L33" s="594"/>
    </row>
  </sheetData>
  <sheetProtection algorithmName="SHA-512" hashValue="kN6UP9SPGwpcu/RX5lqxSrrTfyQAun/xBXPzaLR8PQJZTOCjFYVSHOHFqX4Qr/YPmmylI1cnYYf38z7LdCZgcg==" saltValue="J0P0skdXgs307IUQeM6bN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28"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3 al 3</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F0vCxoSBr+MWduBJJcCoPnf5d+7i1OaHJvXqyIzG66SKfq2WVoDB8wkQmb2lrfqN1nkqdA57M6KXzIpeMVwrKQ==" saltValue="ocF/+S0oWBpysg0RsgIfm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BADAJOZ</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t="s">
        <v>203</v>
      </c>
      <c r="BO5" s="1405"/>
      <c r="BP5" s="1404" t="s">
        <v>204</v>
      </c>
      <c r="BQ5" s="1405"/>
      <c r="BR5" s="1404" t="s">
        <v>205</v>
      </c>
      <c r="BS5" s="1405"/>
      <c r="BT5" s="1404" t="s">
        <v>206</v>
      </c>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763</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t="s">
        <v>163</v>
      </c>
      <c r="BO6" s="1402" t="s">
        <v>164</v>
      </c>
      <c r="BP6" s="1402" t="s">
        <v>163</v>
      </c>
      <c r="BQ6" s="1402" t="s">
        <v>164</v>
      </c>
      <c r="BR6" s="1402" t="s">
        <v>163</v>
      </c>
      <c r="BS6" s="1402" t="s">
        <v>164</v>
      </c>
      <c r="BT6" s="1402" t="s">
        <v>163</v>
      </c>
      <c r="BU6" s="1402" t="s">
        <v>164</v>
      </c>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L8SZq05ym4mthL4l+up7ERoMjicuMnWsXRTrXPDUmH4rDF/E0aimvM36FWJhrntTYprpGMG40B/Qiafx0qYQEA==" saltValue="Y9XkY3rpTBdUgqyy20w25g=="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774"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EXTREMADURA</v>
      </c>
      <c r="F1" s="752"/>
    </row>
    <row r="2" spans="1:75" ht="16.5" customHeight="1">
      <c r="C2" s="520" t="str">
        <f>Criterios!A10 &amp;"  "&amp;Criterios!B10 &amp; "  " &amp; IF(NOT(ISBLANK(Criterios!A11)),Criterios!A11 &amp;"  "&amp;Criterios!B11,"")</f>
        <v>Provincias  BADAJOZ  Resumenes por Partidos Judiciales  MERIDA</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42" t="s">
        <v>354</v>
      </c>
      <c r="B5" s="276"/>
      <c r="C5" s="1442"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566</v>
      </c>
      <c r="L5" s="1659" t="s">
        <v>534</v>
      </c>
      <c r="M5" s="1691" t="s">
        <v>592</v>
      </c>
      <c r="N5" s="1659" t="s">
        <v>727</v>
      </c>
      <c r="O5" s="1659" t="s">
        <v>687</v>
      </c>
      <c r="P5" s="1659" t="s">
        <v>170</v>
      </c>
      <c r="Q5" s="1694" t="s">
        <v>684</v>
      </c>
      <c r="R5" s="1694" t="s">
        <v>728</v>
      </c>
      <c r="S5" s="1659" t="s">
        <v>595</v>
      </c>
      <c r="T5" s="1694" t="s">
        <v>567</v>
      </c>
      <c r="U5" s="1694" t="s">
        <v>779</v>
      </c>
      <c r="V5" s="1694" t="s">
        <v>780</v>
      </c>
      <c r="W5" s="1677" t="s">
        <v>617</v>
      </c>
      <c r="X5" s="1680" t="s">
        <v>568</v>
      </c>
      <c r="Y5" s="1677" t="s">
        <v>569</v>
      </c>
      <c r="Z5" s="1677" t="s">
        <v>570</v>
      </c>
      <c r="AA5" s="1659" t="s">
        <v>688</v>
      </c>
      <c r="AB5" s="1659" t="s">
        <v>693</v>
      </c>
      <c r="AC5" s="1659" t="s">
        <v>184</v>
      </c>
      <c r="AD5" s="1665" t="s">
        <v>182</v>
      </c>
      <c r="AE5" s="1659" t="s">
        <v>689</v>
      </c>
      <c r="AF5" s="1668" t="s">
        <v>690</v>
      </c>
      <c r="AG5" s="1671" t="s">
        <v>543</v>
      </c>
      <c r="AH5" s="1659" t="s">
        <v>544</v>
      </c>
      <c r="AI5" s="1659" t="s">
        <v>615</v>
      </c>
      <c r="AJ5" s="1674" t="s">
        <v>616</v>
      </c>
      <c r="AK5" s="1671" t="s">
        <v>185</v>
      </c>
      <c r="AL5" s="1659" t="s">
        <v>574</v>
      </c>
      <c r="AM5" s="1659" t="s">
        <v>250</v>
      </c>
      <c r="AN5" s="1659" t="s">
        <v>251</v>
      </c>
      <c r="AO5" s="1659" t="s">
        <v>252</v>
      </c>
      <c r="AP5" s="1659" t="s">
        <v>575</v>
      </c>
      <c r="AQ5" s="1659" t="s">
        <v>253</v>
      </c>
      <c r="AR5" s="1659" t="s">
        <v>576</v>
      </c>
      <c r="AS5" s="1659" t="s">
        <v>577</v>
      </c>
      <c r="AT5" s="1659" t="s">
        <v>578</v>
      </c>
      <c r="AU5" s="1659" t="s">
        <v>603</v>
      </c>
      <c r="AV5" s="1659" t="s">
        <v>596</v>
      </c>
      <c r="AW5" s="1659" t="s">
        <v>850</v>
      </c>
      <c r="AX5" s="1659" t="s">
        <v>853</v>
      </c>
      <c r="AY5" s="1659" t="s">
        <v>855</v>
      </c>
      <c r="AZ5" s="1659" t="s">
        <v>597</v>
      </c>
      <c r="BA5" s="1659" t="s">
        <v>885</v>
      </c>
      <c r="BB5" s="1659" t="s">
        <v>579</v>
      </c>
      <c r="BC5" s="1659" t="s">
        <v>542</v>
      </c>
      <c r="BW5" s="1659" t="s">
        <v>781</v>
      </c>
    </row>
    <row r="6" spans="1:75" ht="21.75" customHeight="1">
      <c r="A6" s="1710"/>
      <c r="B6" s="776"/>
      <c r="C6" s="1712"/>
      <c r="D6" s="1660"/>
      <c r="E6" s="1660"/>
      <c r="F6" s="1689"/>
      <c r="G6" s="1660"/>
      <c r="H6" s="1660"/>
      <c r="I6" s="1660"/>
      <c r="J6" s="1660"/>
      <c r="K6" s="1660"/>
      <c r="L6" s="1660"/>
      <c r="M6" s="1692"/>
      <c r="N6" s="1660"/>
      <c r="O6" s="1660"/>
      <c r="P6" s="1660"/>
      <c r="Q6" s="1695"/>
      <c r="R6" s="1695"/>
      <c r="S6" s="1660"/>
      <c r="T6" s="1695"/>
      <c r="U6" s="1695"/>
      <c r="V6" s="1695"/>
      <c r="W6" s="1678"/>
      <c r="X6" s="1681"/>
      <c r="Y6" s="1678"/>
      <c r="Z6" s="1678"/>
      <c r="AA6" s="1660"/>
      <c r="AB6" s="1660"/>
      <c r="AC6" s="1660"/>
      <c r="AD6" s="1666"/>
      <c r="AE6" s="1660"/>
      <c r="AF6" s="1669"/>
      <c r="AG6" s="1672"/>
      <c r="AH6" s="1660"/>
      <c r="AI6" s="1660"/>
      <c r="AJ6" s="1675"/>
      <c r="AK6" s="1672"/>
      <c r="AL6" s="1660"/>
      <c r="AM6" s="1660"/>
      <c r="AN6" s="1660"/>
      <c r="AO6" s="1660"/>
      <c r="AP6" s="1660"/>
      <c r="AQ6" s="1660"/>
      <c r="AR6" s="1660"/>
      <c r="AS6" s="1660"/>
      <c r="AT6" s="1660"/>
      <c r="AU6" s="1660"/>
      <c r="AV6" s="1660"/>
      <c r="AW6" s="1660"/>
      <c r="AX6" s="1660"/>
      <c r="AY6" s="1660"/>
      <c r="AZ6" s="1660"/>
      <c r="BA6" s="1660"/>
      <c r="BB6" s="1660"/>
      <c r="BC6" s="1660"/>
      <c r="BW6" s="1660"/>
    </row>
    <row r="7" spans="1:75" ht="38.25" customHeight="1" thickBot="1">
      <c r="A7" s="1711"/>
      <c r="B7" s="777"/>
      <c r="C7" s="778" t="str">
        <f>DatosP!A7</f>
        <v>COMPETENCIAS</v>
      </c>
      <c r="D7" s="1661"/>
      <c r="E7" s="1661"/>
      <c r="F7" s="1690"/>
      <c r="G7" s="1661"/>
      <c r="H7" s="1661"/>
      <c r="I7" s="1661"/>
      <c r="J7" s="1661"/>
      <c r="K7" s="1661"/>
      <c r="L7" s="1661"/>
      <c r="M7" s="1693"/>
      <c r="N7" s="1661"/>
      <c r="O7" s="1661"/>
      <c r="P7" s="1661"/>
      <c r="Q7" s="1696"/>
      <c r="R7" s="1696"/>
      <c r="S7" s="1661"/>
      <c r="T7" s="1696"/>
      <c r="U7" s="1696"/>
      <c r="V7" s="1696"/>
      <c r="W7" s="1679"/>
      <c r="X7" s="1682"/>
      <c r="Y7" s="1679"/>
      <c r="Z7" s="1679"/>
      <c r="AA7" s="1661"/>
      <c r="AB7" s="1661"/>
      <c r="AC7" s="1661"/>
      <c r="AD7" s="1667"/>
      <c r="AE7" s="1661"/>
      <c r="AF7" s="1670"/>
      <c r="AG7" s="1673"/>
      <c r="AH7" s="1661"/>
      <c r="AI7" s="1661"/>
      <c r="AJ7" s="1676"/>
      <c r="AK7" s="1673"/>
      <c r="AL7" s="1661"/>
      <c r="AM7" s="1661"/>
      <c r="AN7" s="1661"/>
      <c r="AO7" s="1661"/>
      <c r="AP7" s="1661"/>
      <c r="AQ7" s="1661"/>
      <c r="AR7" s="1661"/>
      <c r="AS7" s="1661"/>
      <c r="AT7" s="1661"/>
      <c r="AU7" s="1661"/>
      <c r="AV7" s="1661"/>
      <c r="AW7" s="1661"/>
      <c r="AX7" s="1661"/>
      <c r="AY7" s="1661"/>
      <c r="AZ7" s="1661"/>
      <c r="BA7" s="1661"/>
      <c r="BB7" s="1661"/>
      <c r="BC7" s="1661"/>
      <c r="BW7" s="1661"/>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0.17378048780487804</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0.12288136136473539</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29 nov. 2023</v>
      </c>
    </row>
    <row r="32" spans="1:75">
      <c r="C32" s="911"/>
      <c r="D32" s="912"/>
    </row>
  </sheetData>
  <sheetProtection algorithmName="SHA-512" hashValue="3uOBS49KEiKBN20xiw75SXIb9KyFgQtsRfICTFjE1Le8Szro6ETEU0+Es412XpkMYN207gXCltWd+pgvyd6Kvw==" saltValue="IY3fksGN6o0o0uwAm8rzE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373"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yP5EMOyGU+oeaPDHapLdsP+/xCIFCGR87laLXQbRvjJOf3jmQDBQq2Z/roch0XugkXH8Dy8k2BKFRzgwcCwF1g==" saltValue="imlEtjDUo4CUffzYMGtn1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EXTREMADURA</v>
      </c>
      <c r="C2" s="399"/>
      <c r="D2" s="399"/>
      <c r="E2" s="399"/>
      <c r="F2" s="399"/>
    </row>
    <row r="3" spans="1:14" ht="19.5">
      <c r="A3" s="401" t="s">
        <v>115</v>
      </c>
      <c r="B3" s="402" t="str">
        <f>Criterios!A10 &amp;"  "&amp;Criterios!B10</f>
        <v>Provincias  BADAJOZ</v>
      </c>
      <c r="D3" s="399"/>
      <c r="E3" s="399"/>
      <c r="F3" s="399"/>
    </row>
    <row r="4" spans="1:14" ht="13.5" thickBot="1">
      <c r="A4" s="399"/>
      <c r="B4" s="402" t="str">
        <f>Criterios!A11 &amp;"  "&amp;Criterios!B11</f>
        <v>Resumenes por Partidos Judiciales  MERIDA</v>
      </c>
      <c r="C4" s="399"/>
      <c r="D4" s="399"/>
      <c r="E4" s="399"/>
      <c r="F4" s="399"/>
    </row>
    <row r="5" spans="1:14" ht="15.75" customHeight="1">
      <c r="A5" s="1353" t="str">
        <f>"Año:  " &amp;Criterios!B5 &amp; "     Trimestre   " &amp;Criterios!D5 &amp; " al " &amp;Criterios!D6</f>
        <v>Año:  2023     Trimestre   3 al 3</v>
      </c>
      <c r="B5" s="937" t="s">
        <v>116</v>
      </c>
      <c r="C5" s="1355" t="s">
        <v>128</v>
      </c>
      <c r="D5" s="1356"/>
      <c r="E5" s="1355" t="s">
        <v>92</v>
      </c>
      <c r="F5" s="1356"/>
      <c r="G5" s="1355" t="s">
        <v>9</v>
      </c>
      <c r="H5" s="1356"/>
      <c r="I5" s="1355" t="s">
        <v>129</v>
      </c>
      <c r="J5" s="1356"/>
      <c r="K5" s="1362" t="s">
        <v>757</v>
      </c>
      <c r="L5" s="1346" t="s">
        <v>803</v>
      </c>
      <c r="M5" s="1346" t="s">
        <v>873</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14</v>
      </c>
      <c r="D10" s="415">
        <f>IF(ISNUMBER(C10/Datos!BH10),C10/Datos!BH10," - ")</f>
        <v>14</v>
      </c>
      <c r="E10" s="414">
        <f>IF(ISNUMBER(Datos!J10),Datos!J10," - ")</f>
        <v>4</v>
      </c>
      <c r="F10" s="415">
        <f>IF(ISNUMBER(E10/B10),E10/B10," - ")</f>
        <v>4</v>
      </c>
      <c r="G10" s="414">
        <f>IF(ISNUMBER(Datos!K10),Datos!K10," - ")</f>
        <v>4</v>
      </c>
      <c r="H10" s="415">
        <f>IF(ISNUMBER(G10/B10),G10/B10," - ")</f>
        <v>4</v>
      </c>
      <c r="I10" s="414">
        <f>IF(ISNUMBER(Datos!L10),Datos!L10," - ")</f>
        <v>14</v>
      </c>
      <c r="J10" s="415">
        <f>IF(ISNUMBER(I10/B10),I10/B10," - ")</f>
        <v>14</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5</v>
      </c>
      <c r="C12" s="414">
        <f>IF(ISNUMBER(IF(J_V="SI",Datos!I12,Datos!I12+Datos!Y12)),IF(J_V="SI",Datos!I12,Datos!I12+Datos!Y12)," - ")</f>
        <v>2124</v>
      </c>
      <c r="D12" s="415">
        <f>IF(ISNUMBER(C12/Datos!BH12),C12/Datos!BH12," - ")</f>
        <v>424.8</v>
      </c>
      <c r="E12" s="414">
        <f>IF(ISNUMBER(IF(J_V="SI",Datos!J12,Datos!J12+Datos!Z12)),IF(J_V="SI",Datos!J12,Datos!J12+Datos!Z12)," - ")</f>
        <v>1095</v>
      </c>
      <c r="F12" s="415">
        <f>IF(ISNUMBER(E12/B12),E12/B12," - ")</f>
        <v>219</v>
      </c>
      <c r="G12" s="414">
        <f>IF(ISNUMBER(IF(J_V="SI",Datos!K12,Datos!K12+Datos!AA12)),IF(J_V="SI",Datos!K12,Datos!K12+Datos!AA12)," - ")</f>
        <v>980</v>
      </c>
      <c r="H12" s="415">
        <f>IF(ISNUMBER(G12/B12),G12/B12," - ")</f>
        <v>196</v>
      </c>
      <c r="I12" s="414">
        <f>IF(ISNUMBER(IF(J_V="SI",Datos!L12,Datos!L12+Datos!AB12)),IF(J_V="SI",Datos!L12,Datos!L12+Datos!AB12)," - ")</f>
        <v>2235</v>
      </c>
      <c r="J12" s="415">
        <f>IF(ISNUMBER(I12/B12),I12/B12," - ")</f>
        <v>447</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5</v>
      </c>
      <c r="C13" s="995">
        <f>SUBTOTAL(9,C8:C12)</f>
        <v>2138</v>
      </c>
      <c r="D13" s="996" t="str">
        <f>IF(ISNUMBER(C13/Datos!BI13),C13/Datos!BI13," - ")</f>
        <v xml:space="preserve"> - </v>
      </c>
      <c r="E13" s="995">
        <f>SUBTOTAL(9,E8:E12)</f>
        <v>1099</v>
      </c>
      <c r="F13" s="996">
        <f>IF(ISNUMBER(E13/B13),E13/B13," - ")</f>
        <v>219.8</v>
      </c>
      <c r="G13" s="995">
        <f>SUBTOTAL(9,G8:G12)</f>
        <v>984</v>
      </c>
      <c r="H13" s="996">
        <f>IF(ISNUMBER(G13/B13),G13/B13," - ")</f>
        <v>196.8</v>
      </c>
      <c r="I13" s="995">
        <f>SUBTOTAL(9,I8:I12)</f>
        <v>2249</v>
      </c>
      <c r="J13" s="996">
        <f>IF(ISNUMBER(I13/B13),I13/B13," - ")</f>
        <v>449.8</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5</v>
      </c>
      <c r="C16" s="414">
        <f>IF(ISNUMBER(IF(D_I="SI",Datos!I16,Datos!I16+Datos!AC16)),IF(D_I="SI",Datos!I16,Datos!I16+Datos!AC16)," - ")</f>
        <v>1459</v>
      </c>
      <c r="D16" s="415">
        <f>IF(ISNUMBER(C16/Datos!BH16),C16/Datos!BH16," - ")</f>
        <v>291.8</v>
      </c>
      <c r="E16" s="414">
        <f>IF(ISNUMBER(IF(D_I="SI",Datos!J16,Datos!J16+Datos!AD16)),IF(D_I="SI",Datos!J16,Datos!J16+Datos!AD16)," - ")</f>
        <v>1064</v>
      </c>
      <c r="F16" s="415">
        <f>IF(ISNUMBER(E16/B16),E16/B16," - ")</f>
        <v>212.8</v>
      </c>
      <c r="G16" s="414">
        <f>IF(ISNUMBER(IF(D_I="SI",Datos!K16,Datos!K16+Datos!AE16)),IF(D_I="SI",Datos!K16,Datos!K16+Datos!AE16)," - ")</f>
        <v>954</v>
      </c>
      <c r="H16" s="415">
        <f>IF(ISNUMBER(G16/B16),G16/B16," - ")</f>
        <v>190.8</v>
      </c>
      <c r="I16" s="414">
        <f>IF(ISNUMBER(IF(D_I="SI",Datos!L16,Datos!L16+Datos!AF16)),IF(D_I="SI",Datos!L16,Datos!L16+Datos!AF16)," - ")</f>
        <v>1577</v>
      </c>
      <c r="J16" s="415">
        <f>IF(ISNUMBER(I16/B16),I16/B16," - ")</f>
        <v>315.39999999999998</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264</v>
      </c>
      <c r="D17" s="415">
        <f>IF(ISNUMBER(C17/Datos!BH17),C17/Datos!BH17," - ")</f>
        <v>264</v>
      </c>
      <c r="E17" s="414">
        <f>IF(ISNUMBER(IF(D_I="SI",Datos!J17,Datos!J17+Datos!AD17)),IF(D_I="SI",Datos!J17,Datos!J17+Datos!AD17)," - ")</f>
        <v>91</v>
      </c>
      <c r="F17" s="415">
        <f>IF(ISNUMBER(E17/B17),E17/B17," - ")</f>
        <v>91</v>
      </c>
      <c r="G17" s="414">
        <f>IF(ISNUMBER(IF(D_I="SI",Datos!K17,Datos!K17+Datos!AE17)),IF(D_I="SI",Datos!K17,Datos!K17+Datos!AE17)," - ")</f>
        <v>135</v>
      </c>
      <c r="H17" s="415">
        <f>IF(ISNUMBER(G17/B17),G17/B17," - ")</f>
        <v>135</v>
      </c>
      <c r="I17" s="414">
        <f>IF(ISNUMBER(IF(D_I="SI",Datos!L17,Datos!L17+Datos!AF17)),IF(D_I="SI",Datos!L17,Datos!L17+Datos!AF17)," - ")</f>
        <v>220</v>
      </c>
      <c r="J17" s="415">
        <f>IF(ISNUMBER(I17/B17),I17/B17," - ")</f>
        <v>220</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5</v>
      </c>
      <c r="C18" s="995">
        <f>SUBTOTAL(9,C14:C17)</f>
        <v>1723</v>
      </c>
      <c r="D18" s="996" t="str">
        <f>IF(ISNUMBER(C18/Datos!BI18),C18/Datos!BI18," - ")</f>
        <v xml:space="preserve"> - </v>
      </c>
      <c r="E18" s="995">
        <f>SUBTOTAL(9,E14:E17)</f>
        <v>1155</v>
      </c>
      <c r="F18" s="996">
        <f>IF(ISNUMBER(E18/B18),E18/B18," - ")</f>
        <v>231</v>
      </c>
      <c r="G18" s="995">
        <f>SUBTOTAL(9,G14:G17)</f>
        <v>1089</v>
      </c>
      <c r="H18" s="996">
        <f>IF(ISNUMBER(G18/B18),G18/B18," - ")</f>
        <v>217.8</v>
      </c>
      <c r="I18" s="995">
        <f>SUBTOTAL(9,I14:I17)</f>
        <v>1797</v>
      </c>
      <c r="J18" s="996">
        <f>IF(ISNUMBER(I18/B18),I18/B18," - ")</f>
        <v>359.4</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5</v>
      </c>
      <c r="C19" s="940">
        <f>SUBTOTAL(9,C9:C18)</f>
        <v>3861</v>
      </c>
      <c r="D19" s="941" t="str">
        <f>IF(ISNUMBER(C19/Datos!BI19),C19/Datos!BI19," - ")</f>
        <v xml:space="preserve"> - </v>
      </c>
      <c r="E19" s="940">
        <f>SUBTOTAL(9,E9:E18)</f>
        <v>2254</v>
      </c>
      <c r="F19" s="941">
        <f>IF(ISNUMBER(E19/B19),E19/B19," - ")</f>
        <v>450.8</v>
      </c>
      <c r="G19" s="940">
        <f>SUBTOTAL(9,G9:G18)</f>
        <v>2073</v>
      </c>
      <c r="H19" s="941">
        <f>IF(ISNUMBER(G19/B19),G19/B19," - ")</f>
        <v>414.6</v>
      </c>
      <c r="I19" s="940">
        <f>SUBTOTAL(9,I9:I18)</f>
        <v>4046</v>
      </c>
      <c r="J19" s="941">
        <f>IF(ISNUMBER(I19/B19),I19/B19," - ")</f>
        <v>809.2</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29 nov. 2023</v>
      </c>
    </row>
    <row r="27" spans="1:14">
      <c r="A27" s="425"/>
    </row>
  </sheetData>
  <sheetProtection algorithmName="SHA-512" hashValue="dScIfilIQtP5IgDrqGQQHIsXS8h/1Lw46+EMT0K9pYjLTOnhcmX0cNXziezPHKdNukJh/VytQtnfDIdaDWNh0A==" saltValue="EMGZTaF2l9JPfCJT9fylW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EXTREMADURA</v>
      </c>
      <c r="F1" s="752"/>
      <c r="W1"/>
      <c r="X1"/>
      <c r="BE1" s="752"/>
    </row>
    <row r="2" spans="1:65" ht="16.5" customHeight="1">
      <c r="C2" s="520" t="str">
        <f>Criterios!A10 &amp;"  "&amp;Criterios!B10 &amp; "  " &amp; IF(NOT(ISBLANK(Criterios!A11)),Criterios!A11 &amp;"  "&amp;Criterios!B11,"")</f>
        <v>Provincias  BADAJOZ  Resumenes por Partidos Judiciales  MERIDA</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42" t="s">
        <v>354</v>
      </c>
      <c r="B5" s="276"/>
      <c r="C5" s="1442" t="str">
        <f>"Año:  " &amp;Criterios!B$5 &amp; "          Trimestre   " &amp;Criterios!D$5 &amp; " al " &amp;Criterios!D$6</f>
        <v>Año:  2023          Trimestre   3 al 3</v>
      </c>
      <c r="D5" s="1659" t="s">
        <v>428</v>
      </c>
      <c r="E5" s="1659" t="s">
        <v>564</v>
      </c>
      <c r="F5" s="1688" t="s">
        <v>410</v>
      </c>
      <c r="G5" s="1659" t="s">
        <v>128</v>
      </c>
      <c r="H5" s="1659" t="s">
        <v>701</v>
      </c>
      <c r="I5" s="1659" t="s">
        <v>702</v>
      </c>
      <c r="J5" s="1659" t="s">
        <v>705</v>
      </c>
      <c r="K5" s="1659" t="s">
        <v>706</v>
      </c>
      <c r="L5" s="1659" t="s">
        <v>592</v>
      </c>
      <c r="M5" s="1659" t="s">
        <v>727</v>
      </c>
      <c r="N5" s="1659" t="s">
        <v>707</v>
      </c>
      <c r="O5" s="1659" t="s">
        <v>703</v>
      </c>
      <c r="P5" s="1659" t="s">
        <v>170</v>
      </c>
      <c r="Q5" s="1659" t="s">
        <v>684</v>
      </c>
      <c r="R5" s="1659" t="s">
        <v>728</v>
      </c>
      <c r="S5" s="1659" t="str">
        <f>"Ingreso Computable 2003" &amp; IF(OR(EXACT(LEFT(boletin,2),"04"),EXACT(LEFT(boletin,2),"14"),EXACT(LEFT(boletin,2),"17"))," (Civil + Penal)","")</f>
        <v>Ingreso Computable 2003</v>
      </c>
      <c r="T5" s="1659" t="s">
        <v>704</v>
      </c>
      <c r="U5" s="1694" t="str">
        <f>"% Ingreso Computable 2003" &amp; IF(OR(EXACT(LEFT(boletin,2),"04"),EXACT(LEFT(boletin,2),"14"),EXACT(LEFT(boletin,2),"17"))," (Civil + Penal)","")</f>
        <v>% Ingreso Computable 2003</v>
      </c>
      <c r="V5" s="1694" t="s">
        <v>708</v>
      </c>
      <c r="W5" s="1659" t="s">
        <v>773</v>
      </c>
      <c r="X5" s="1659" t="s">
        <v>774</v>
      </c>
      <c r="Y5" s="1662" t="s">
        <v>675</v>
      </c>
      <c r="Z5" s="1718" t="str">
        <f>"RESOLUCION Nº  H/P" &amp; IF(OR(EXACT(LEFT(boletin,2),"04"),EXACT(LEFT(boletin,2),"14"),EXACT(LEFT(boletin,2),"17"))," (Civil + Penal)","")</f>
        <v>RESOLUCION Nº  H/P</v>
      </c>
      <c r="AA5" s="1721" t="str">
        <f>" % S/Iindicador  De  Resolución (Horas punto)" &amp; IF(OR(EXACT(LEFT(boletin,2),"04"),EXACT(LEFT(boletin,2),"14"),EXACT(LEFT(boletin,2),"17"))," (Civil + Penal)","")</f>
        <v xml:space="preserve"> % S/Iindicador  De  Resolución (Horas punto)</v>
      </c>
      <c r="AB5" s="1718" t="s">
        <v>709</v>
      </c>
      <c r="AC5" s="1718" t="s">
        <v>710</v>
      </c>
      <c r="AD5" s="1718" t="s">
        <v>711</v>
      </c>
      <c r="AE5" s="1718" t="s">
        <v>712</v>
      </c>
      <c r="AF5" s="1659" t="s">
        <v>713</v>
      </c>
      <c r="AG5" s="1659" t="s">
        <v>714</v>
      </c>
      <c r="AH5" s="1659" t="s">
        <v>715</v>
      </c>
      <c r="AI5" s="1659" t="s">
        <v>716</v>
      </c>
      <c r="AJ5" s="1659" t="s">
        <v>184</v>
      </c>
      <c r="AK5" s="1671" t="s">
        <v>543</v>
      </c>
      <c r="AL5" s="1671" t="s">
        <v>185</v>
      </c>
      <c r="AM5" s="1659" t="s">
        <v>574</v>
      </c>
      <c r="AN5" s="1659" t="s">
        <v>250</v>
      </c>
      <c r="AO5" s="1659" t="s">
        <v>251</v>
      </c>
      <c r="AP5" s="1659" t="s">
        <v>717</v>
      </c>
      <c r="AQ5" s="1659" t="s">
        <v>718</v>
      </c>
      <c r="AR5" s="1659" t="s">
        <v>719</v>
      </c>
      <c r="AS5" s="1659" t="s">
        <v>720</v>
      </c>
      <c r="AT5" s="1659" t="s">
        <v>721</v>
      </c>
      <c r="AU5" s="1659" t="s">
        <v>722</v>
      </c>
      <c r="AV5" s="1659" t="s">
        <v>723</v>
      </c>
      <c r="AW5" s="1659" t="s">
        <v>724</v>
      </c>
      <c r="AX5" s="1659" t="s">
        <v>850</v>
      </c>
      <c r="AY5" s="1659" t="s">
        <v>853</v>
      </c>
      <c r="AZ5" s="1659" t="s">
        <v>725</v>
      </c>
      <c r="BA5" s="1659" t="s">
        <v>726</v>
      </c>
      <c r="BB5" s="1659" t="s">
        <v>542</v>
      </c>
      <c r="BC5" s="1518" t="s">
        <v>733</v>
      </c>
      <c r="BD5" s="1518" t="s">
        <v>734</v>
      </c>
      <c r="BE5" s="1688" t="s">
        <v>735</v>
      </c>
      <c r="BF5" s="1715"/>
      <c r="BG5" s="1716"/>
      <c r="BH5" s="1715"/>
      <c r="BI5" s="1716"/>
      <c r="BJ5" s="1715"/>
      <c r="BK5" s="1716"/>
      <c r="BL5" s="1715"/>
      <c r="BM5" s="1716"/>
    </row>
    <row r="6" spans="1:65" ht="21.75" customHeight="1">
      <c r="A6" s="1710"/>
      <c r="B6" s="776"/>
      <c r="C6" s="1712"/>
      <c r="D6" s="1660"/>
      <c r="E6" s="1660"/>
      <c r="F6" s="1689"/>
      <c r="G6" s="1660"/>
      <c r="H6" s="1660"/>
      <c r="I6" s="1660"/>
      <c r="J6" s="1660"/>
      <c r="K6" s="1660"/>
      <c r="L6" s="1660"/>
      <c r="M6" s="1660"/>
      <c r="N6" s="1660"/>
      <c r="O6" s="1660"/>
      <c r="P6" s="1660"/>
      <c r="Q6" s="1660"/>
      <c r="R6" s="1660"/>
      <c r="S6" s="1660"/>
      <c r="T6" s="1660"/>
      <c r="U6" s="1695"/>
      <c r="V6" s="1695"/>
      <c r="W6" s="1660"/>
      <c r="X6" s="1660"/>
      <c r="Y6" s="1663"/>
      <c r="Z6" s="1719"/>
      <c r="AA6" s="1722"/>
      <c r="AB6" s="1719"/>
      <c r="AC6" s="1719"/>
      <c r="AD6" s="1719"/>
      <c r="AE6" s="1719"/>
      <c r="AF6" s="1660"/>
      <c r="AG6" s="1660"/>
      <c r="AH6" s="1660"/>
      <c r="AI6" s="1660"/>
      <c r="AJ6" s="1660"/>
      <c r="AK6" s="1672"/>
      <c r="AL6" s="1672"/>
      <c r="AM6" s="1660"/>
      <c r="AN6" s="1660"/>
      <c r="AO6" s="1660"/>
      <c r="AP6" s="1660"/>
      <c r="AQ6" s="1660"/>
      <c r="AR6" s="1660"/>
      <c r="AS6" s="1660"/>
      <c r="AT6" s="1660"/>
      <c r="AU6" s="1660"/>
      <c r="AV6" s="1660"/>
      <c r="AW6" s="1660"/>
      <c r="AX6" s="1660"/>
      <c r="AY6" s="1660"/>
      <c r="AZ6" s="1660"/>
      <c r="BA6" s="1660"/>
      <c r="BB6" s="1660"/>
      <c r="BC6" s="1519"/>
      <c r="BD6" s="1519"/>
      <c r="BE6" s="1689"/>
      <c r="BF6" s="1713"/>
      <c r="BG6" s="1713"/>
      <c r="BH6" s="1713"/>
      <c r="BI6" s="1713"/>
      <c r="BJ6" s="1713"/>
      <c r="BK6" s="1713"/>
      <c r="BL6" s="1713"/>
      <c r="BM6" s="1713"/>
    </row>
    <row r="7" spans="1:65" ht="38.25" customHeight="1" thickBot="1">
      <c r="A7" s="1711"/>
      <c r="B7" s="777"/>
      <c r="C7" s="778" t="str">
        <f>Datos!A7</f>
        <v>COMPETENCIAS</v>
      </c>
      <c r="D7" s="1661"/>
      <c r="E7" s="1661"/>
      <c r="F7" s="1690"/>
      <c r="G7" s="1661"/>
      <c r="H7" s="1661"/>
      <c r="I7" s="1661"/>
      <c r="J7" s="1661"/>
      <c r="K7" s="1661"/>
      <c r="L7" s="1661"/>
      <c r="M7" s="1661"/>
      <c r="N7" s="1661"/>
      <c r="O7" s="1661"/>
      <c r="P7" s="1661"/>
      <c r="Q7" s="1661"/>
      <c r="R7" s="1661"/>
      <c r="S7" s="1661"/>
      <c r="T7" s="1661"/>
      <c r="U7" s="1696"/>
      <c r="V7" s="1696"/>
      <c r="W7" s="1661"/>
      <c r="X7" s="1661"/>
      <c r="Y7" s="1664"/>
      <c r="Z7" s="1720"/>
      <c r="AA7" s="1723"/>
      <c r="AB7" s="1720"/>
      <c r="AC7" s="1720"/>
      <c r="AD7" s="1720"/>
      <c r="AE7" s="1720"/>
      <c r="AF7" s="1661"/>
      <c r="AG7" s="1661"/>
      <c r="AH7" s="1661"/>
      <c r="AI7" s="1661"/>
      <c r="AJ7" s="1661"/>
      <c r="AK7" s="1673"/>
      <c r="AL7" s="1673"/>
      <c r="AM7" s="1661"/>
      <c r="AN7" s="1661"/>
      <c r="AO7" s="1661"/>
      <c r="AP7" s="1661"/>
      <c r="AQ7" s="1661"/>
      <c r="AR7" s="1661"/>
      <c r="AS7" s="1661"/>
      <c r="AT7" s="1661"/>
      <c r="AU7" s="1661"/>
      <c r="AV7" s="1661"/>
      <c r="AW7" s="1661"/>
      <c r="AX7" s="1661"/>
      <c r="AY7" s="1661"/>
      <c r="AZ7" s="1661"/>
      <c r="BA7" s="1661"/>
      <c r="BB7" s="1661"/>
      <c r="BC7" s="1717"/>
      <c r="BD7" s="1717"/>
      <c r="BE7" s="1690"/>
      <c r="BF7" s="1714"/>
      <c r="BG7" s="1714"/>
      <c r="BH7" s="1714"/>
      <c r="BI7" s="1714"/>
      <c r="BJ7" s="1714"/>
      <c r="BK7" s="1714"/>
      <c r="BL7" s="1714"/>
      <c r="BM7" s="1714"/>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14</v>
      </c>
      <c r="G10" s="802">
        <f>IF(ISNUMBER(Datos!I10),Datos!I10," - ")</f>
        <v>14</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4</v>
      </c>
      <c r="AC10" s="801" t="str">
        <f>IF(ISNUMBER(IF(D_I="SI",DatosP!K17,DatosP!K17+DatosP!AE17)),IF(D_I="SI",DatosP!K17,DatosP!K17+DatosP!AE17)," - ")</f>
        <v xml:space="preserve"> - </v>
      </c>
      <c r="AD10" s="803"/>
      <c r="AE10" s="803"/>
      <c r="AF10" s="806">
        <f>IF(ISNUMBER(Datos!L10),Datos!L10,"-")</f>
        <v>14</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0</v>
      </c>
      <c r="AM10" s="810">
        <f>IF(ISNUMBER(Datos!N10+DatosP!N17),Datos!N10+DatosP!N17," - ")</f>
        <v>0</v>
      </c>
      <c r="AN10" s="810">
        <f>IF(ISNUMBER(Datos!BW10+DatosP!BW17),Datos!BW10+DatosP!BW17," - ")</f>
        <v>0</v>
      </c>
      <c r="AO10" s="811">
        <f>IF(ISNUMBER(Datos!BX10+DatosP!BX17),Datos!BX10+DatosP!BX17," - ")</f>
        <v>0</v>
      </c>
      <c r="AP10" s="813">
        <f>IF(ISNUMBER(((Datos!L10/Datos!K10)*11)/factor_trimestre),((Datos!L10/Datos!K10)*11)/factor_trimestre," - ")</f>
        <v>7</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5</v>
      </c>
      <c r="B12" s="653" t="s">
        <v>249</v>
      </c>
      <c r="C12" s="654" t="str">
        <f>Datos!A12</f>
        <v xml:space="preserve">Jdos. 1ª Instª. e Instr.                        </v>
      </c>
      <c r="D12" s="548"/>
      <c r="E12" s="800">
        <f>IF(ISNUMBER(Datos!AQ12),Datos!AQ12," - ")</f>
        <v>5</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175</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307</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4971</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171</v>
      </c>
      <c r="AM12" s="810">
        <f>IF(ISNUMBER(Datos!N12+DatosP!N16),Datos!N12+DatosP!N16," - ")</f>
        <v>338</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4.5612244897959187</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-2.5867136978248089E-2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5</v>
      </c>
      <c r="F13" s="1084">
        <f t="shared" si="0"/>
        <v>14</v>
      </c>
      <c r="G13" s="1084">
        <f t="shared" si="0"/>
        <v>14</v>
      </c>
      <c r="H13" s="1084">
        <f t="shared" si="0"/>
        <v>0</v>
      </c>
      <c r="I13" s="1086">
        <f t="shared" si="0"/>
        <v>0</v>
      </c>
      <c r="J13" s="1085">
        <f t="shared" si="0"/>
        <v>0</v>
      </c>
      <c r="K13" s="1085">
        <f t="shared" si="0"/>
        <v>0</v>
      </c>
      <c r="L13" s="1087">
        <f t="shared" si="0"/>
        <v>0</v>
      </c>
      <c r="M13" s="1087">
        <f t="shared" si="0"/>
        <v>0</v>
      </c>
      <c r="N13" s="1085">
        <f t="shared" si="0"/>
        <v>175</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4</v>
      </c>
      <c r="AC13" s="1085">
        <f t="shared" si="1"/>
        <v>0</v>
      </c>
      <c r="AD13" s="1085">
        <f t="shared" si="1"/>
        <v>307</v>
      </c>
      <c r="AE13" s="1085">
        <f t="shared" si="1"/>
        <v>0</v>
      </c>
      <c r="AF13" s="1085">
        <f t="shared" si="1"/>
        <v>14</v>
      </c>
      <c r="AG13" s="1085">
        <f t="shared" si="1"/>
        <v>0</v>
      </c>
      <c r="AH13" s="1085">
        <f t="shared" si="1"/>
        <v>4971</v>
      </c>
      <c r="AI13" s="1085">
        <f t="shared" si="1"/>
        <v>0</v>
      </c>
      <c r="AJ13" s="1085">
        <f t="shared" si="1"/>
        <v>0</v>
      </c>
      <c r="AK13" s="1085">
        <f t="shared" si="1"/>
        <v>0</v>
      </c>
      <c r="AL13" s="1085">
        <f t="shared" si="1"/>
        <v>171</v>
      </c>
      <c r="AM13" s="1085">
        <f t="shared" si="1"/>
        <v>338</v>
      </c>
      <c r="AN13" s="1085">
        <f t="shared" si="1"/>
        <v>0</v>
      </c>
      <c r="AO13" s="1085">
        <f t="shared" si="1"/>
        <v>0</v>
      </c>
      <c r="AP13" s="1090">
        <f>IF(ISNUMBER(((Datos!L13/Datos!K13)*11)/factor_trimestre),((Datos!L13/Datos!K13)*11)/factor_trimestre," - ")</f>
        <v>4.9490373725934313</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-0.2857142857142857</v>
      </c>
      <c r="AU13" s="1085" t="str">
        <f>IF(ISNUMBER((DatosP!#REF!-DatosP!#REF!+DatosP!#REF!)/(DatosP!#REF!+DatosP!#REF!-DatosP!#REF!-DatosP!#REF!)),(DatosP!#REF!-DatosP!#REF!+DatosP!#REF!)/(DatosP!#REF!+DatosP!#REF!-DatosP!#REF!-DatosP!#REF!)," - ")</f>
        <v xml:space="preserve"> - </v>
      </c>
      <c r="AV13" s="1091">
        <f>SUBTOTAL(9,AV9:AV12)</f>
        <v>-2.5867136978248089E-2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5</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3.3002754820936633</v>
      </c>
      <c r="AQ18" s="1090">
        <f>IF(ISNUMBER(((Datos!M18/Datos!L18)*11)/factor_trimestre),((Datos!M18/Datos!L18)*11)/factor_trimestre," - ")</f>
        <v>0.12242626599888705</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-1.2048192771084338E-2</v>
      </c>
      <c r="AW18" s="1092">
        <f>IF(ISNUMBER((Datos!Q18-Datos!R18)/(Datos!S18-Datos!Q18+Datos!R18)),(Datos!Q18-Datos!R18)/(Datos!S18-Datos!Q18+Datos!R18)," - ")</f>
        <v>-0.10969529085872576</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5</v>
      </c>
      <c r="F19" s="1097">
        <f t="shared" si="4"/>
        <v>14</v>
      </c>
      <c r="G19" s="1097">
        <f t="shared" si="4"/>
        <v>14</v>
      </c>
      <c r="H19" s="1097">
        <f t="shared" si="4"/>
        <v>0</v>
      </c>
      <c r="I19" s="1098">
        <f t="shared" si="4"/>
        <v>0</v>
      </c>
      <c r="J19" s="1099">
        <f t="shared" si="4"/>
        <v>0</v>
      </c>
      <c r="K19" s="1099">
        <f t="shared" si="4"/>
        <v>0</v>
      </c>
      <c r="L19" s="1099">
        <f t="shared" si="4"/>
        <v>0</v>
      </c>
      <c r="M19" s="1099">
        <f t="shared" si="4"/>
        <v>0</v>
      </c>
      <c r="N19" s="1098">
        <f t="shared" si="4"/>
        <v>175</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4</v>
      </c>
      <c r="AC19" s="1103">
        <f t="shared" si="5"/>
        <v>0</v>
      </c>
      <c r="AD19" s="1103">
        <f t="shared" si="5"/>
        <v>307</v>
      </c>
      <c r="AE19" s="1103">
        <f t="shared" si="5"/>
        <v>0</v>
      </c>
      <c r="AF19" s="1104">
        <f t="shared" si="5"/>
        <v>14</v>
      </c>
      <c r="AG19" s="1104">
        <f t="shared" si="5"/>
        <v>0</v>
      </c>
      <c r="AH19" s="1104">
        <f t="shared" si="5"/>
        <v>4971</v>
      </c>
      <c r="AI19" s="1104">
        <f t="shared" si="5"/>
        <v>0</v>
      </c>
      <c r="AJ19" s="1105">
        <f t="shared" si="5"/>
        <v>0</v>
      </c>
      <c r="AK19" s="1105">
        <f t="shared" si="5"/>
        <v>0</v>
      </c>
      <c r="AL19" s="1097">
        <f t="shared" si="5"/>
        <v>171</v>
      </c>
      <c r="AM19" s="1097">
        <f t="shared" si="5"/>
        <v>338</v>
      </c>
      <c r="AN19" s="1097">
        <f t="shared" si="5"/>
        <v>0</v>
      </c>
      <c r="AO19" s="1097">
        <f t="shared" si="5"/>
        <v>0</v>
      </c>
      <c r="AP19" s="1097">
        <f>IF(ISNUMBER(((Datos!L19/Datos!K19)*11)/factor_trimestre),((Datos!L19/Datos!K19)*11)/factor_trimestre," - ")</f>
        <v>4.0385395537525355</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-0.2857142857142857</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-2.5224215246636771E-2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9.3333333333333339</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2.5819888974716112</v>
      </c>
      <c r="F21" s="869">
        <f>IF(ISNUMBER(STDEV(F8:F18)),STDEV(F8:F18),"-")</f>
        <v>8.0829037686547611</v>
      </c>
      <c r="G21" s="870">
        <f>IF(ISNUMBER(STDEV(G8:G18)),STDEV(G8:G18),"-")</f>
        <v>8.0829037686547611</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2.3094010767585034</v>
      </c>
      <c r="AC21" s="871">
        <f>IF(ISNUMBER(STDEV(AC8:AC18)),STDEV(AC8:AC18),"-")</f>
        <v>0</v>
      </c>
      <c r="AD21" s="874"/>
      <c r="AE21" s="874"/>
      <c r="AF21" s="874"/>
      <c r="AG21" s="874"/>
      <c r="AH21" s="874"/>
      <c r="AI21" s="874"/>
      <c r="AJ21" s="875">
        <f>IF(ISNUMBER(STDEV(AJ8:AJ18)),STDEV(AJ8:AJ18),"-")</f>
        <v>0</v>
      </c>
      <c r="AK21" s="877"/>
      <c r="AL21" s="869">
        <f>IF(ISNUMBER(STDEV(AL8:AL18)),STDEV(AL8:AL18),"-")</f>
        <v>98.726896031426008</v>
      </c>
      <c r="AM21" s="869"/>
      <c r="AN21" s="869">
        <f>IF(ISNUMBER(STDEV(AN8:AN18)),STDEV(AN8:AN18),"-")</f>
        <v>0</v>
      </c>
      <c r="AO21" s="875">
        <f>IF(ISNUMBER(STDEV(AO8:AO18)),STDEV(AO8:AO18),"-")</f>
        <v>0</v>
      </c>
      <c r="AP21" s="922">
        <f>IF(ISNUMBER(STDEV(AP8:AP18)),STDEV(AP8:AP18),"-")</f>
        <v>1.5357094506079894</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29 nov. 2023</v>
      </c>
      <c r="W30"/>
      <c r="X30"/>
    </row>
    <row r="32" spans="1:65">
      <c r="C32" s="911"/>
      <c r="D32" s="912"/>
      <c r="W32"/>
      <c r="X32"/>
    </row>
  </sheetData>
  <sheetProtection algorithmName="SHA-512" hashValue="ExSTyCvaGNR39seCEL/wG1F/Ux1ruIsFPPMv+CZIlEh47ygSkzyMluUPybjXlGI9VzTAdzEQ8VjKVJ86ZX3UAg==" saltValue="zYU3lGs2Wytq30RFenMZ9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57" stopIfTrue="1" operator="notBetween">
      <formula>$E$25</formula>
      <formula>$E$26</formula>
    </cfRule>
  </conditionalFormatting>
  <conditionalFormatting sqref="AZ14:AZ17 AZ9:AZ12">
    <cfRule type="expression" dxfId="1" priority="4420" stopIfTrue="1">
      <formula>NOT(AND($AZ9-ultimoDiaTrim&gt;=$AZ$26,$AZ9-ultimoDiaTrim&lt;=$AZ$25))</formula>
    </cfRule>
  </conditionalFormatting>
  <conditionalFormatting sqref="BA14:BA17 BA9:BA12">
    <cfRule type="expression" dxfId="0" priority="4422"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EXTREMADURA</v>
      </c>
      <c r="C2" s="399"/>
      <c r="E2" s="399"/>
      <c r="F2" s="399"/>
      <c r="G2" s="399"/>
      <c r="H2" s="399"/>
    </row>
    <row r="3" spans="1:15" ht="39">
      <c r="A3" s="426" t="s">
        <v>221</v>
      </c>
      <c r="B3" s="402" t="str">
        <f>Criterios!A10 &amp;"  "&amp;Criterios!B10</f>
        <v>Provincias  BADAJOZ</v>
      </c>
      <c r="C3" s="426"/>
      <c r="F3" s="399"/>
      <c r="G3" s="399"/>
      <c r="H3" s="399"/>
    </row>
    <row r="4" spans="1:15" ht="13.5" thickBot="1">
      <c r="A4" s="399"/>
      <c r="B4" s="402" t="str">
        <f>Criterios!A11 &amp;"  "&amp;Criterios!B11</f>
        <v>Resumenes por Partidos Judiciales  MERIDA</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5</v>
      </c>
      <c r="D12" s="414">
        <f>Datos!BK12</f>
        <v>0</v>
      </c>
      <c r="E12" s="414">
        <f>Datos!AQ12</f>
        <v>5</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5</v>
      </c>
      <c r="D16" s="414">
        <f>Datos!BK16</f>
        <v>0</v>
      </c>
      <c r="E16" s="414">
        <f>Datos!AQ16</f>
        <v>5</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29 nov. 2023</v>
      </c>
      <c r="B23" s="402"/>
      <c r="C23" s="402"/>
    </row>
    <row r="27" spans="1:13">
      <c r="A27" s="425"/>
      <c r="B27" s="425"/>
      <c r="C27" s="425"/>
    </row>
  </sheetData>
  <sheetProtection algorithmName="SHA-512" hashValue="Que7oozyUKSZSVpHoHW7oJOSqwVasv1WxvqtMar5yQY+u+lSB2iP73d0lr/8grQWlowtU6xYap9lo1y8zI1WNA==" saltValue="UthUVAKxgceEUC3zYseWU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EXTREMADURA</v>
      </c>
      <c r="C2" s="438"/>
      <c r="D2" s="381"/>
    </row>
    <row r="3" spans="1:9" ht="19.5">
      <c r="A3" s="439" t="s">
        <v>11</v>
      </c>
      <c r="B3" s="440" t="str">
        <f>Criterios!A10 &amp;"  "&amp;Criterios!B10</f>
        <v>Provincias  BADAJOZ</v>
      </c>
      <c r="C3" s="438"/>
      <c r="D3" s="439"/>
    </row>
    <row r="4" spans="1:9" ht="13.5" thickBot="1">
      <c r="B4" s="440" t="str">
        <f>Criterios!A11 &amp;"  "&amp;Criterios!B11</f>
        <v>Resumenes por Partidos Judiciales  MERIDA</v>
      </c>
    </row>
    <row r="5" spans="1:9" ht="15.75" customHeight="1">
      <c r="A5" s="1365" t="str">
        <f>"Año:  " &amp;Criterios!B5 &amp; "                  Trimestre   " &amp;Criterios!D5 &amp; " al " &amp;Criterios!D6</f>
        <v>Año:  2023                  Trimestre   3 al 3</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0</v>
      </c>
      <c r="E10" s="415">
        <f>IF(ISNUMBER(D10/B10),D10/B10," - ")</f>
        <v>0</v>
      </c>
      <c r="F10" s="414">
        <f>IF(ISNUMBER(Datos!N10),Datos!N10," - ")</f>
        <v>0</v>
      </c>
      <c r="G10" s="415">
        <f>IF(ISNUMBER(F10/B10),F10/B10," - ")</f>
        <v>0</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5</v>
      </c>
      <c r="C12" s="421">
        <f>Datos!AQ12</f>
        <v>5</v>
      </c>
      <c r="D12" s="414">
        <f>IF(ISNUMBER(Datos!M12),Datos!M12," - ")</f>
        <v>171</v>
      </c>
      <c r="E12" s="415">
        <f t="shared" si="0"/>
        <v>34.200000000000003</v>
      </c>
      <c r="F12" s="414">
        <f>IF(ISNUMBER(Datos!N12),Datos!N12," - ")</f>
        <v>338</v>
      </c>
      <c r="G12" s="415">
        <f t="shared" si="1"/>
        <v>67.599999999999994</v>
      </c>
      <c r="H12" s="414">
        <f>IF(ISNUMBER(Datos!O12),Datos!O12," - ")</f>
        <v>456</v>
      </c>
      <c r="I12" s="415">
        <f t="shared" si="2"/>
        <v>91.2</v>
      </c>
    </row>
    <row r="13" spans="1:9" ht="14.25" thickTop="1" thickBot="1">
      <c r="A13" s="994" t="str">
        <f>Datos!A13</f>
        <v>TOTAL</v>
      </c>
      <c r="B13" s="995">
        <f>Datos!AO13</f>
        <v>6</v>
      </c>
      <c r="C13" s="997">
        <f>Datos!AR13</f>
        <v>5</v>
      </c>
      <c r="D13" s="995">
        <f>SUBTOTAL(9,D9:D12)</f>
        <v>171</v>
      </c>
      <c r="E13" s="996">
        <f t="shared" si="0"/>
        <v>28.5</v>
      </c>
      <c r="F13" s="995">
        <f>SUBTOTAL(9,F9:F12)</f>
        <v>338</v>
      </c>
      <c r="G13" s="996">
        <f t="shared" si="1"/>
        <v>56.333333333333336</v>
      </c>
      <c r="H13" s="995">
        <f>SUBTOTAL(9,H9:H12)</f>
        <v>456</v>
      </c>
      <c r="I13" s="996">
        <f>IF(ISNUMBER(H13/B13),H13/B13," - ")</f>
        <v>76</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5</v>
      </c>
      <c r="C16" s="444">
        <f>Datos!AQ16</f>
        <v>5</v>
      </c>
      <c r="D16" s="414">
        <f>IF(ISNUMBER(Datos!M16),Datos!M16," - ")</f>
        <v>104</v>
      </c>
      <c r="E16" s="415">
        <f t="shared" si="3"/>
        <v>20.8</v>
      </c>
      <c r="F16" s="414">
        <f>IF(ISNUMBER(Datos!N16),Datos!N16," - ")</f>
        <v>682</v>
      </c>
      <c r="G16" s="415">
        <f t="shared" si="4"/>
        <v>136.4</v>
      </c>
      <c r="H16" s="414">
        <f>IF(ISNUMBER(Datos!O16),Datos!O16," - ")</f>
        <v>8</v>
      </c>
      <c r="I16" s="415">
        <f t="shared" si="5"/>
        <v>1.6</v>
      </c>
    </row>
    <row r="17" spans="1:9" ht="13.5" thickBot="1">
      <c r="A17" s="413" t="str">
        <f>Datos!A17</f>
        <v>Jdos. Violencia contra la mujer</v>
      </c>
      <c r="B17" s="443">
        <f>Datos!AO17</f>
        <v>1</v>
      </c>
      <c r="C17" s="444">
        <f>Datos!AQ17</f>
        <v>0</v>
      </c>
      <c r="D17" s="414">
        <f>IF(ISNUMBER(Datos!M17),Datos!M17," - ")</f>
        <v>6</v>
      </c>
      <c r="E17" s="415">
        <f>IF(ISNUMBER(D17/B17),D17/B17," - ")</f>
        <v>6</v>
      </c>
      <c r="F17" s="414">
        <f>IF(ISNUMBER(Datos!N17),Datos!N17," - ")</f>
        <v>106</v>
      </c>
      <c r="G17" s="415">
        <f>IF(ISNUMBER(F17/B17),F17/B17," - ")</f>
        <v>106</v>
      </c>
      <c r="H17" s="414">
        <f>IF(ISNUMBER(Datos!O17),Datos!O17," - ")</f>
        <v>0</v>
      </c>
      <c r="I17" s="415">
        <f t="shared" si="5"/>
        <v>0</v>
      </c>
    </row>
    <row r="18" spans="1:9" ht="14.25" thickTop="1" thickBot="1">
      <c r="A18" s="994" t="str">
        <f>Datos!A18</f>
        <v>TOTAL</v>
      </c>
      <c r="B18" s="995">
        <f>Datos!AO18</f>
        <v>6</v>
      </c>
      <c r="C18" s="997">
        <f>Datos!AR18</f>
        <v>5</v>
      </c>
      <c r="D18" s="995">
        <f>SUBTOTAL(9,D15:D17)</f>
        <v>110</v>
      </c>
      <c r="E18" s="996">
        <f t="shared" si="3"/>
        <v>18.333333333333332</v>
      </c>
      <c r="F18" s="995">
        <f>SUBTOTAL(9,F15:F17)</f>
        <v>788</v>
      </c>
      <c r="G18" s="996">
        <f t="shared" si="4"/>
        <v>131.33333333333334</v>
      </c>
      <c r="H18" s="995">
        <f>SUBTOTAL(9,H15:H17)</f>
        <v>8</v>
      </c>
      <c r="I18" s="996">
        <f>IF(ISNUMBER(H18/B18),H18/B18," - ")</f>
        <v>1.3333333333333333</v>
      </c>
    </row>
    <row r="19" spans="1:9" ht="14.25" thickTop="1" thickBot="1">
      <c r="A19" s="939" t="str">
        <f>Datos!A19</f>
        <v>TOTAL JURISDICCIONES</v>
      </c>
      <c r="B19" s="940">
        <f>Datos!AP19</f>
        <v>5</v>
      </c>
      <c r="C19" s="940">
        <f>Datos!AR19</f>
        <v>5</v>
      </c>
      <c r="D19" s="940">
        <f>SUBTOTAL(9,D8:D18)</f>
        <v>281</v>
      </c>
      <c r="E19" s="941">
        <f>IF(ISNUMBER(D19/B19),D19/B19," - ")</f>
        <v>56.2</v>
      </c>
      <c r="F19" s="940">
        <f>SUBTOTAL(9,F8:F18)</f>
        <v>1126</v>
      </c>
      <c r="G19" s="941">
        <f>IF(ISNUMBER(F19/B19),F19/B19," - ")</f>
        <v>225.2</v>
      </c>
      <c r="H19" s="940">
        <f>SUBTOTAL(9,H8:H18)</f>
        <v>464</v>
      </c>
      <c r="I19" s="941">
        <f>IF(ISNUMBER(H19/B19),H19/B19," - ")</f>
        <v>92.8</v>
      </c>
    </row>
    <row r="22" spans="1:9">
      <c r="A22" s="402" t="str">
        <f>Criterios!A4</f>
        <v>Fecha Informe: 29 nov. 2023</v>
      </c>
    </row>
    <row r="27" spans="1:9">
      <c r="A27" s="425"/>
    </row>
  </sheetData>
  <sheetProtection algorithmName="SHA-512" hashValue="FJlogWgx71RdyVhhoDPcnbhQIqnGxxDBZlsb03aHZCq2PZhSmF7h3mK6/PHbJgHYu9GCRw6T7uKI3Xu7juBNMQ==" saltValue="VXb1c6MLMAarecHvMqdLk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EXTREMADURA</v>
      </c>
    </row>
    <row r="3" spans="1:4" ht="19.5">
      <c r="A3" s="445" t="s">
        <v>32</v>
      </c>
      <c r="B3" s="402" t="str">
        <f>Criterios!A10 &amp;"  "&amp;Criterios!B10</f>
        <v>Provincias  BADAJOZ</v>
      </c>
    </row>
    <row r="4" spans="1:4" ht="13.5" thickBot="1">
      <c r="B4" s="402" t="str">
        <f>Criterios!A11 &amp;"  "&amp;Criterios!B11</f>
        <v>Resumenes por Partidos Judiciales  MERIDA</v>
      </c>
    </row>
    <row r="5" spans="1:4" ht="12.75" customHeight="1">
      <c r="A5" s="1365" t="str">
        <f>"Año:  " &amp;Criterios!B5 &amp; "                  Trimestre   " &amp;Criterios!D5 &amp; " al " &amp;Criterios!D6</f>
        <v>Año:  2023                  Trimestre   3 al 3</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0</v>
      </c>
      <c r="C10" s="450">
        <f>IF(ISNUMBER(Datos!Q10),Datos!Q10," - ")</f>
        <v>0</v>
      </c>
      <c r="D10" s="419">
        <f>IF(ISNUMBER(Datos!R10),Datos!R10," - ")</f>
        <v>0</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175</v>
      </c>
      <c r="C12" s="450">
        <f>IF(ISNUMBER(Datos!Q12),Datos!Q12," - ")</f>
        <v>307</v>
      </c>
      <c r="D12" s="419">
        <f>IF(ISNUMBER(Datos!R12),Datos!R12," - ")</f>
        <v>4971</v>
      </c>
    </row>
    <row r="13" spans="1:4" ht="14.25" thickTop="1" thickBot="1">
      <c r="A13" s="994" t="str">
        <f>Datos!A13</f>
        <v>TOTAL</v>
      </c>
      <c r="B13" s="995">
        <f>SUBTOTAL(9,B9:B12)</f>
        <v>175</v>
      </c>
      <c r="C13" s="999">
        <f>SUBTOTAL(9,C9:C12)</f>
        <v>307</v>
      </c>
      <c r="D13" s="997">
        <f>SUBTOTAL(9,D9:D12)</f>
        <v>4971</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45</v>
      </c>
      <c r="C16" s="450">
        <f>IF(ISNUMBER(Datos!Q16),Datos!Q16," - ")</f>
        <v>48</v>
      </c>
      <c r="D16" s="419">
        <f>IF(ISNUMBER(Datos!R16),Datos!R16," - ")</f>
        <v>243</v>
      </c>
    </row>
    <row r="17" spans="1:4" ht="13.5" thickBot="1">
      <c r="A17" s="413" t="str">
        <f>Datos!A17</f>
        <v>Jdos. Violencia contra la mujer</v>
      </c>
      <c r="B17" s="449">
        <f>IF(ISNUMBER(Datos!P17),Datos!P17," - ")</f>
        <v>0</v>
      </c>
      <c r="C17" s="450">
        <f>IF(ISNUMBER(Datos!Q17),Datos!Q17," - ")</f>
        <v>0</v>
      </c>
      <c r="D17" s="419">
        <f>IF(ISNUMBER(Datos!R17),Datos!R17," - ")</f>
        <v>3</v>
      </c>
    </row>
    <row r="18" spans="1:4" ht="14.25" thickTop="1" thickBot="1">
      <c r="A18" s="994" t="str">
        <f>Datos!A18</f>
        <v>TOTAL</v>
      </c>
      <c r="B18" s="995">
        <f>SUBTOTAL(9,B15:B17)</f>
        <v>45</v>
      </c>
      <c r="C18" s="999">
        <f>SUBTOTAL(9,C15:C17)</f>
        <v>48</v>
      </c>
      <c r="D18" s="997">
        <f>SUBTOTAL(9,D15:D17)</f>
        <v>246</v>
      </c>
    </row>
    <row r="19" spans="1:4" ht="16.5" customHeight="1" thickTop="1" thickBot="1">
      <c r="A19" s="939" t="str">
        <f>Datos!A19</f>
        <v>TOTAL JURISDICCIONES</v>
      </c>
      <c r="B19" s="944">
        <f>SUBTOTAL(9,B8:B18)</f>
        <v>220</v>
      </c>
      <c r="C19" s="945">
        <f>SUBTOTAL(9,C8:C18)</f>
        <v>355</v>
      </c>
      <c r="D19" s="946">
        <f>SUBTOTAL(9,D8:D18)</f>
        <v>5217</v>
      </c>
    </row>
    <row r="20" spans="1:4" ht="7.5" customHeight="1"/>
    <row r="21" spans="1:4" ht="6" customHeight="1"/>
    <row r="22" spans="1:4">
      <c r="A22" s="402" t="str">
        <f>Criterios!A4</f>
        <v>Fecha Informe: 29 nov. 2023</v>
      </c>
    </row>
    <row r="27" spans="1:4">
      <c r="A27" s="425"/>
    </row>
  </sheetData>
  <sheetProtection algorithmName="SHA-512" hashValue="vT6TjHwx1pFd4kPwGQFOwrqC7yq23VqKmlsxDAqTwYkj2c49d5FCU0u09QYysJnHt3huEKXJiy/ElEVr5aYfYA==" saltValue="H3NNX+fBYCTcbJravC5px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EXTREMADURA</v>
      </c>
    </row>
    <row r="3" spans="1:11" ht="18.75" customHeight="1">
      <c r="A3" s="445" t="s">
        <v>118</v>
      </c>
      <c r="B3" s="402" t="str">
        <f>Criterios!A10 &amp;"  "&amp;Criterios!B10</f>
        <v>Provincias  BADAJOZ</v>
      </c>
    </row>
    <row r="4" spans="1:11" ht="10.5" customHeight="1" thickBot="1">
      <c r="B4" s="402" t="str">
        <f>Criterios!A11 &amp;"  "&amp;Criterios!B11</f>
        <v>Resumenes por Partidos Judiciales  MERIDA</v>
      </c>
    </row>
    <row r="5" spans="1:11" ht="12.75" customHeight="1">
      <c r="A5" s="1365" t="str">
        <f>"Año:  " &amp;Criterios!B5 &amp; "    Trimestre   " &amp;Criterios!D5 &amp; " al " &amp;Criterios!D6</f>
        <v>Año:  2023    Trimestre   3 al 3</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-0.17647058823529413</v>
      </c>
      <c r="C10" s="472">
        <f>IF(ISNUMBER((Datos!J10-Datos!T10)/Datos!T10),(Datos!J10-Datos!T10)/Datos!T10," - ")</f>
        <v>0</v>
      </c>
      <c r="D10" s="472">
        <f>IF(ISNUMBER((Datos!K10-Datos!U10)/Datos!U10),(Datos!K10-Datos!U10)/Datos!U10," - ")</f>
        <v>0.33333333333333331</v>
      </c>
      <c r="E10" s="472">
        <f>IF(ISNUMBER((Datos!L10-Datos!V10)/Datos!V10),(Datos!L10-Datos!V10)/Datos!V10," - ")</f>
        <v>-0.22222222222222221</v>
      </c>
      <c r="F10" s="472">
        <f>IF(ISNUMBER((Datos!M10-Datos!W10)/Datos!W10),(Datos!M10-Datos!W10)/Datos!W10," - ")</f>
        <v>-1</v>
      </c>
      <c r="G10" s="473" t="str">
        <f>IF(ISNUMBER((Datos!N10-Datos!X10)/Datos!X10),(Datos!N10-Datos!X10)/Datos!X10," - ")</f>
        <v xml:space="preserve"> - </v>
      </c>
      <c r="H10" s="471">
        <f>IF(ISNUMBER(((NºAsuntos!G10/NºAsuntos!E10)-Datos!BD10)/Datos!BD10),((NºAsuntos!G10/NºAsuntos!E10)-Datos!BD10)/Datos!BD10," - ")</f>
        <v>0.33333333333333331</v>
      </c>
      <c r="I10" s="472">
        <f>IF(ISNUMBER(((NºAsuntos!I10/NºAsuntos!G10)-Datos!BE10)/Datos!BE10),((NºAsuntos!I10/NºAsuntos!G10)-Datos!BE10)/Datos!BE10," - ")</f>
        <v>-0.41666666666666669</v>
      </c>
      <c r="J10" s="477">
        <f>IF(ISNUMBER((('Resol  Asuntos'!D10/NºAsuntos!G10)-Datos!BF10)/Datos!BF10),(('Resol  Asuntos'!D10/NºAsuntos!G10)-Datos!BF10)/Datos!BF10," - ")</f>
        <v>-1</v>
      </c>
      <c r="K10" s="478">
        <f>IF(ISNUMBER((((NºAsuntos!C10+NºAsuntos!E10)/NºAsuntos!G10)-Datos!BG10)/Datos!BG10),(((NºAsuntos!C10+NºAsuntos!E10)/NºAsuntos!G10)-Datos!BG10)/Datos!BG10," - ")</f>
        <v>-0.35714285714285715</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-8.0917351795759415E-2</v>
      </c>
      <c r="C12" s="472">
        <f>IF(ISNUMBER(
   IF(J_V="SI",(Datos!J12-Datos!T12)/Datos!T12,(Datos!J12+Datos!Z12-(Datos!T12+Datos!AH12))/(Datos!T12+Datos!AH12))
     ),IF(J_V="SI",(Datos!J12-Datos!T12)/Datos!T12,(Datos!J12+Datos!Z12-(Datos!T12+Datos!AH12))/(Datos!T12+Datos!AH12))," - ")</f>
        <v>0.10050251256281408</v>
      </c>
      <c r="D12" s="472">
        <f>IF(ISNUMBER(
   IF(J_V="SI",(Datos!K12-Datos!U12)/Datos!U12,(Datos!K12+Datos!AA12-(Datos!U12+Datos!AI12))/(Datos!U12+Datos!AI12))
     ),IF(J_V="SI",(Datos!K12-Datos!U12)/Datos!U12,(Datos!K12+Datos!AA12-(Datos!U12+Datos!AI12))/(Datos!U12+Datos!AI12))," - ")</f>
        <v>-6.7554709800190293E-2</v>
      </c>
      <c r="E12" s="472">
        <f>IF(ISNUMBER(
   IF(J_V="SI",(Datos!L12-Datos!V12)/Datos!V12,(Datos!L12+Datos!AB12-(Datos!V12+Datos!AJ12))/(Datos!V12+Datos!AJ12))
     ),IF(J_V="SI",(Datos!L12-Datos!V12)/Datos!V12,(Datos!L12+Datos!AB12-(Datos!V12+Datos!AJ12))/(Datos!V12+Datos!AJ12))," - ")</f>
        <v>2.4289642529789185E-2</v>
      </c>
      <c r="F12" s="472">
        <f>IF(ISNUMBER((Datos!M12-Datos!W12)/Datos!W12),(Datos!M12-Datos!W12)/Datos!W12," - ")</f>
        <v>-0.50720461095100866</v>
      </c>
      <c r="G12" s="473">
        <f>IF(ISNUMBER((Datos!N12-Datos!X12)/Datos!X12),(Datos!N12-Datos!X12)/Datos!X12," - ")</f>
        <v>0.48245614035087719</v>
      </c>
      <c r="H12" s="471">
        <f>IF(ISNUMBER(((NºAsuntos!G12/NºAsuntos!E12)-Datos!BD12)/Datos!BD12),((NºAsuntos!G12/NºAsuntos!E12)-Datos!BD12)/Datos!BD12," - ")</f>
        <v>-0.15270953082300395</v>
      </c>
      <c r="I12" s="472">
        <f>IF(ISNUMBER(((NºAsuntos!I12/NºAsuntos!G12)-Datos!BE12)/Datos!BE12),((NºAsuntos!I12/NºAsuntos!G12)-Datos!BE12)/Datos!BE12," - ")</f>
        <v>9.8498381937559762E-2</v>
      </c>
      <c r="J12" s="477">
        <f>IF(ISNUMBER((('Resol  Asuntos'!D12/NºAsuntos!G12)-Datos!BF12)/Datos!BF12),(('Resol  Asuntos'!D12/NºAsuntos!G12)-Datos!BF12)/Datos!BF12," - ")</f>
        <v>-0.19566326530612241</v>
      </c>
      <c r="K12" s="478">
        <f>IF(ISNUMBER((((NºAsuntos!C12+NºAsuntos!E12)/NºAsuntos!G12)-Datos!BG12)/Datos!BG12),(((NºAsuntos!C12+NºAsuntos!E12)/NºAsuntos!G12)-Datos!BG12)/Datos!BG12," - ")</f>
        <v>4.422663802363061E-2</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-8.1615120274914091E-2</v>
      </c>
      <c r="C13" s="1001">
        <f>IF(ISNUMBER(
   IF(J_V="SI",(Datos!J13-Datos!T13)/Datos!T13,(Datos!J13+Datos!Z13-(Datos!T13+Datos!AH13))/(Datos!T13+Datos!AH13))
     ),IF(J_V="SI",(Datos!J13-Datos!T13)/Datos!T13,(Datos!J13+Datos!Z13-(Datos!T13+Datos!AH13))/(Datos!T13+Datos!AH13))," - ")</f>
        <v>0.10010010010010011</v>
      </c>
      <c r="D13" s="1001">
        <f>IF(ISNUMBER(
   IF(J_V="SI",(Datos!K13-Datos!U13)/Datos!U13,(Datos!K13+Datos!AA13-(Datos!U13+Datos!AI13))/(Datos!U13+Datos!AI13))
     ),IF(J_V="SI",(Datos!K13-Datos!U13)/Datos!U13,(Datos!K13+Datos!AA13-(Datos!U13+Datos!AI13))/(Datos!U13+Datos!AI13))," - ")</f>
        <v>-6.6413662239089177E-2</v>
      </c>
      <c r="E13" s="1001">
        <f>IF(ISNUMBER(
   IF(J_V="SI",(Datos!L13-Datos!V13)/Datos!V13,(Datos!L13+Datos!AB13-(Datos!V13+Datos!AJ13))/(Datos!V13+Datos!AJ13))
     ),IF(J_V="SI",(Datos!L13-Datos!V13)/Datos!V13,(Datos!L13+Datos!AB13-(Datos!V13+Datos!AJ13))/(Datos!V13+Datos!AJ13))," - ")</f>
        <v>2.2272727272727274E-2</v>
      </c>
      <c r="F13" s="1002">
        <f>IF(ISNUMBER((Datos!M13-Datos!W13)/Datos!W13),(Datos!M13-Datos!W13)/Datos!W13," - ")</f>
        <v>-0.51002865329512892</v>
      </c>
      <c r="G13" s="1003">
        <f>IF(ISNUMBER((Datos!N13-Datos!X13)/Datos!X13),(Datos!N13-Datos!X13)/Datos!X13," - ")</f>
        <v>0.48245614035087719</v>
      </c>
      <c r="H13" s="1003">
        <f>IF(ISNUMBER(((NºAsuntos!G13/NºAsuntos!E13)-Datos!BD13)/Datos!BD13),((NºAsuntos!G13/NºAsuntos!E13)-Datos!BD13)/Datos!BD13," - ")</f>
        <v>-0.1513623735913103</v>
      </c>
      <c r="I13" s="1003">
        <f>IF(ISNUMBER(((NºAsuntos!I13/NºAsuntos!G13)-Datos!BE13)/Datos!BE13),((NºAsuntos!I13/NºAsuntos!G13)-Datos!BE13)/Datos!BE13," - ")</f>
        <v>9.4995380635624516E-2</v>
      </c>
      <c r="J13" s="1003">
        <f>IF(ISNUMBER((('Resol  Asuntos'!D13/NºAsuntos!G13)-Datos!BF13)/Datos!BF13),(('Resol  Asuntos'!D13/NºAsuntos!G13)-Datos!BF13)/Datos!BF13," - ")</f>
        <v>-0.2036320254506894</v>
      </c>
      <c r="K13" s="1003">
        <f>IF(ISNUMBER((((NºAsuntos!C13+NºAsuntos!E13)/NºAsuntos!G13)-Datos!BG13)/Datos!BG13),(((NºAsuntos!C13+NºAsuntos!E13)/NºAsuntos!G13)-Datos!BG13)/Datos!BG13," - ")</f>
        <v>4.216242568196639E-2</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1.3898540653231411E-2</v>
      </c>
      <c r="C16" s="472">
        <f>IF(ISNUMBER(
   IF(D_I="SI",(Datos!J16-Datos!T16)/Datos!T16,(Datos!J16+Datos!AD16-(Datos!T16+Datos!AL16))/(Datos!T16+Datos!AL16))
     ),IF(D_I="SI",(Datos!J16-Datos!T16)/Datos!T16,(Datos!J16+Datos!AD16-(Datos!T16+Datos!AL16))/(Datos!T16+Datos!AL16))," - ")</f>
        <v>0.21322690992018245</v>
      </c>
      <c r="D16" s="472">
        <f>IF(ISNUMBER(
   IF(D_I="SI",(Datos!K16-Datos!U16)/Datos!U16,(Datos!K16+Datos!AE16-(Datos!U16+Datos!AM16))/(Datos!U16+Datos!AM16))
     ),IF(D_I="SI",(Datos!K16-Datos!U16)/Datos!U16,(Datos!K16+Datos!AE16-(Datos!U16+Datos!AM16))/(Datos!U16+Datos!AM16))," - ")</f>
        <v>0.26023778071334214</v>
      </c>
      <c r="E16" s="472">
        <f>IF(ISNUMBER(
   IF(D_I="SI",(Datos!L16-Datos!V16)/Datos!V16,(Datos!L16+Datos!AF16-(Datos!V16+Datos!AN16))/(Datos!V16+Datos!AN16))
     ),IF(D_I="SI",(Datos!L16-Datos!V16)/Datos!V16,(Datos!L16+Datos!AF16-(Datos!V16+Datos!AN16))/(Datos!V16+Datos!AN16))," - ")</f>
        <v>1.8733850129198967E-2</v>
      </c>
      <c r="F16" s="472">
        <f>IF(ISNUMBER((Datos!M16-Datos!W16)/Datos!W16),(Datos!M16-Datos!W16)/Datos!W16," - ")</f>
        <v>-0.12605042016806722</v>
      </c>
      <c r="G16" s="473">
        <f>IF(ISNUMBER((Datos!N16-Datos!X16)/Datos!X16),(Datos!N16-Datos!X16)/Datos!X16," - ")</f>
        <v>0.37777777777777777</v>
      </c>
      <c r="H16" s="471">
        <f>IF(ISNUMBER(((NºAsuntos!G16/NºAsuntos!E16)-Datos!BD16)/Datos!BD16),((NºAsuntos!G16/NºAsuntos!E16)-Datos!BD16)/Datos!BD16," - ")</f>
        <v>3.8748621884963398E-2</v>
      </c>
      <c r="I16" s="472">
        <f>IF(ISNUMBER(((NºAsuntos!I16/NºAsuntos!G16)-Datos!BE16)/Datos!BE16),((NºAsuntos!I16/NºAsuntos!G16)-Datos!BE16)/Datos!BE16," - ")</f>
        <v>-0.19163362206729187</v>
      </c>
      <c r="J16" s="477">
        <f>IF(ISNUMBER((('Resol  Asuntos'!D16/NºAsuntos!G16)-Datos!BF16)/Datos!BF16),(('Resol  Asuntos'!D16/NºAsuntos!G16)-Datos!BF16)/Datos!BF16," - ")</f>
        <v>-0.30652009231365501</v>
      </c>
      <c r="K16" s="478">
        <f>IF(ISNUMBER((((NºAsuntos!C16+NºAsuntos!E16)/NºAsuntos!G16)-Datos!BG16)/Datos!BG16),(((NºAsuntos!C16+NºAsuntos!E16)/NºAsuntos!G16)-Datos!BG16)/Datos!BG16," - ")</f>
        <v>-0.1355772259697374</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0.5714285714285714</v>
      </c>
      <c r="C17" s="472">
        <f>IF(ISNUMBER(
   IF(D_I="SI",(Datos!J17-Datos!T17)/Datos!T17,(Datos!J17+Datos!AD17-(Datos!T17+Datos!AL17))/(Datos!T17+Datos!AL17))
     ),IF(D_I="SI",(Datos!J17-Datos!T17)/Datos!T17,(Datos!J17+Datos!AD17-(Datos!T17+Datos!AL17))/(Datos!T17+Datos!AL17))," - ")</f>
        <v>-0.2288135593220339</v>
      </c>
      <c r="D17" s="472">
        <f>IF(ISNUMBER(
   IF(D_I="SI",(Datos!K17-Datos!U17)/Datos!U17,(Datos!K17+Datos!AE17-(Datos!U17+Datos!AM17))/(Datos!U17+Datos!AM17))
     ),IF(D_I="SI",(Datos!K17-Datos!U17)/Datos!U17,(Datos!K17+Datos!AE17-(Datos!U17+Datos!AM17))/(Datos!U17+Datos!AM17))," - ")</f>
        <v>0.6875</v>
      </c>
      <c r="E17" s="472">
        <f>IF(ISNUMBER(
   IF(D_I="SI",(Datos!L17-Datos!V17)/Datos!V17,(Datos!L17+Datos!AF17-(Datos!V17+Datos!AN17))/(Datos!V17+Datos!AN17))
     ),IF(D_I="SI",(Datos!L17-Datos!V17)/Datos!V17,(Datos!L17+Datos!AF17-(Datos!V17+Datos!AN17))/(Datos!V17+Datos!AN17))," - ")</f>
        <v>6.7961165048543687E-2</v>
      </c>
      <c r="F17" s="472">
        <f>IF(ISNUMBER((Datos!M17-Datos!W17)/Datos!W17),(Datos!M17-Datos!W17)/Datos!W17," - ")</f>
        <v>0.5</v>
      </c>
      <c r="G17" s="473">
        <f>IF(ISNUMBER((Datos!N17-Datos!X17)/Datos!X17),(Datos!N17-Datos!X17)/Datos!X17," - ")</f>
        <v>0.63076923076923075</v>
      </c>
      <c r="H17" s="471">
        <f>IF(ISNUMBER(((NºAsuntos!G17/NºAsuntos!E17)-Datos!BD17)/Datos!BD17),((NºAsuntos!G17/NºAsuntos!E17)-Datos!BD17)/Datos!BD17," - ")</f>
        <v>1.1881868131868134</v>
      </c>
      <c r="I17" s="472">
        <f>IF(ISNUMBER(((NºAsuntos!I17/NºAsuntos!G17)-Datos!BE17)/Datos!BE17),((NºAsuntos!I17/NºAsuntos!G17)-Datos!BE17)/Datos!BE17," - ")</f>
        <v>-0.36713412441567789</v>
      </c>
      <c r="J17" s="477">
        <f>IF(ISNUMBER((('Resol  Asuntos'!D17/NºAsuntos!G17)-Datos!BF17)/Datos!BF17),(('Resol  Asuntos'!D17/NºAsuntos!G17)-Datos!BF17)/Datos!BF17," - ")</f>
        <v>-0.11111111111111113</v>
      </c>
      <c r="K17" s="478">
        <f>IF(ISNUMBER((((NºAsuntos!C17+NºAsuntos!E17)/NºAsuntos!G17)-Datos!BG17)/Datos!BG17),(((NºAsuntos!C17+NºAsuntos!E17)/NºAsuntos!G17)-Datos!BG17)/Datos!BG17," - ")</f>
        <v>-0.26443926443926447</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7.2184194150591158E-2</v>
      </c>
      <c r="C18" s="1001">
        <f>IF(ISNUMBER(
   IF(Criterios!B14="SI",(Datos!J18-Datos!T18)/Datos!T18,(Datos!J18+Datos!AD18-(Datos!T18+Datos!AL18))/(Datos!T18+Datos!AL18))
     ),IF(Criterios!B14="SI",(Datos!J18-Datos!T18)/Datos!T18,(Datos!J18+Datos!AD18-(Datos!T18+Datos!AL18))/(Datos!T18+Datos!AL18))," - ")</f>
        <v>0.16080402010050251</v>
      </c>
      <c r="D18" s="1001">
        <f>IF(ISNUMBER(
   IF(Criterios!B14="SI",(Datos!K18-Datos!U18)/Datos!U18,(Datos!K18+Datos!AE18-(Datos!U18+Datos!AM18))/(Datos!U18+Datos!AM18))
     ),IF(Criterios!B14="SI",(Datos!K18-Datos!U18)/Datos!U18,(Datos!K18+Datos!AE18-(Datos!U18+Datos!AM18))/(Datos!U18+Datos!AM18))," - ")</f>
        <v>0.30107526881720431</v>
      </c>
      <c r="E18" s="1001">
        <f>IF(ISNUMBER(
   IF(Criterios!B14="SI",(Datos!L18-Datos!V18)/Datos!V18,(Datos!L18+Datos!AF18-(Datos!V18+Datos!AN18))/(Datos!V18+Datos!AN18))
     ),IF(Criterios!B14="SI",(Datos!L18-Datos!V18)/Datos!V18,(Datos!L18+Datos!AF18-(Datos!V18+Datos!AN18))/(Datos!V18+Datos!AN18))," - ")</f>
        <v>2.4515393386545039E-2</v>
      </c>
      <c r="F18" s="1002">
        <f>IF(ISNUMBER((Datos!M18-Datos!W18)/Datos!W18),(Datos!M18-Datos!W18)/Datos!W18," - ")</f>
        <v>-0.10569105691056911</v>
      </c>
      <c r="G18" s="1003">
        <f>IF(ISNUMBER((Datos!N18-Datos!X18)/Datos!X18),(Datos!N18-Datos!X18)/Datos!X18," - ")</f>
        <v>0.40714285714285714</v>
      </c>
      <c r="H18" s="1003">
        <f>IF(ISNUMBER(((NºAsuntos!G18/NºAsuntos!E18)-Datos!BD18)/Datos!BD18),((NºAsuntos!G18/NºAsuntos!E18)-Datos!BD18)/Datos!BD18," - ")</f>
        <v>0.12083973374295949</v>
      </c>
      <c r="I18" s="1003">
        <f>IF(ISNUMBER(((NºAsuntos!I18/NºAsuntos!G18)-Datos!BE18)/Datos!BE18),((NºAsuntos!I18/NºAsuntos!G18)-Datos!BE18)/Datos!BE18," - ")</f>
        <v>-0.21256254888472156</v>
      </c>
      <c r="J18" s="1003">
        <f>IF(ISNUMBER((('Resol  Asuntos'!D18/NºAsuntos!G18)-Datos!BF18)/Datos!BF18),(('Resol  Asuntos'!D18/NºAsuntos!G18)-Datos!BF18)/Datos!BF18," - ")</f>
        <v>-0.31263858093126384</v>
      </c>
      <c r="K18" s="1003">
        <f>IF(ISNUMBER((((NºAsuntos!C18+NºAsuntos!E18)/NºAsuntos!G18)-Datos!BG18)/Datos!BG18),(((NºAsuntos!C18+NºAsuntos!E18)/NºAsuntos!G18)-Datos!BG18)/Datos!BG18," - ")</f>
        <v>-0.1498783516811607</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-1.8805590851334181E-2</v>
      </c>
      <c r="C19" s="948">
        <f>IF(ISNUMBER(
   IF(J_V="SI",(Datos!J19-Datos!T19)/Datos!T19,(Datos!J19+Datos!Z19-(Datos!T19+Datos!AH19))/(Datos!T19+Datos!AH19))
     ),IF(J_V="SI",(Datos!J19-Datos!T19)/Datos!T19,(Datos!J19+Datos!Z19-(Datos!T19+Datos!AH19))/(Datos!T19+Datos!AH19))," - ")</f>
        <v>0.13039117352056168</v>
      </c>
      <c r="D19" s="948">
        <f>IF(ISNUMBER(
   IF(J_V="SI",(Datos!K19-Datos!U19)/Datos!U19,(Datos!K19+Datos!AA19-(Datos!U19+Datos!AI19))/(Datos!U19+Datos!AI19))
     ),IF(J_V="SI",(Datos!K19-Datos!U19)/Datos!U19,(Datos!K19+Datos!AA19-(Datos!U19+Datos!AI19))/(Datos!U19+Datos!AI19))," - ")</f>
        <v>9.6245372818614491E-2</v>
      </c>
      <c r="E19" s="948">
        <f>IF(ISNUMBER(
   IF(J_V="SI",(Datos!L19-Datos!V19)/Datos!V19,(Datos!L19+Datos!AB19-(Datos!V19+Datos!AJ19))/(Datos!V19+Datos!AJ19))
     ),IF(J_V="SI",(Datos!L19-Datos!V19)/Datos!V19,(Datos!L19+Datos!AB19-(Datos!V19+Datos!AJ19))/(Datos!V19+Datos!AJ19))," - ")</f>
        <v>2.3267577137076379E-2</v>
      </c>
      <c r="F19" s="949">
        <f>IF(ISNUMBER((Datos!M19-Datos!W19)/Datos!W19),(Datos!M19-Datos!W19)/Datos!W19," - ")</f>
        <v>-0.40466101694915252</v>
      </c>
      <c r="G19" s="950">
        <f>IF(ISNUMBER((Datos!N19-Datos!X19)/Datos!X19),(Datos!N19-Datos!X19)/Datos!X19," - ")</f>
        <v>0.42893401015228427</v>
      </c>
      <c r="H19" s="951">
        <f>IF(ISNUMBER((Tasas!B19-Datos!BD19)/Datos!BD19),(Tasas!B19-Datos!BD19)/Datos!BD19," - ")</f>
        <v>-3.0207065927099746E-2</v>
      </c>
      <c r="I19" s="952">
        <f>IF(ISNUMBER((Tasas!C19-Datos!BE19)/Datos!BE19),(Tasas!C19-Datos!BE19)/Datos!BE19," - ")</f>
        <v>-6.6570676137862383E-2</v>
      </c>
      <c r="J19" s="953">
        <f>IF(ISNUMBER((Tasas!D19-Datos!BF19)/Datos!BF19),(Tasas!D19-Datos!BF19)/Datos!BF19," - ")</f>
        <v>-0.27385418075922863</v>
      </c>
      <c r="K19" s="953">
        <f>IF(ISNUMBER((Tasas!E19-Datos!BG19)/Datos!BG19),(Tasas!E19-Datos!BG19)/Datos!BG19," - ")</f>
        <v>-5.9178490738247998E-2</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29 nov.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3IwEgDVkxy2k/0cqaT/TSqsoGB+mNoObHBtiL2MfPZHvmiZSF1LGKB4QbIIGSQeIjPGZbilPhQlyR3vhxxgR+g==" saltValue="7/J/93j6hZWLacjS3ASfQ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EXTREMADURA</v>
      </c>
    </row>
    <row r="3" spans="1:7" ht="19.5">
      <c r="A3" s="452" t="s">
        <v>12</v>
      </c>
      <c r="B3" s="402" t="str">
        <f>Criterios!A10 &amp;"  "&amp;Criterios!B10</f>
        <v>Provincias  BADAJOZ</v>
      </c>
    </row>
    <row r="4" spans="1:7" ht="11.25" customHeight="1" thickBot="1">
      <c r="B4" s="402" t="str">
        <f>Criterios!A11 &amp;"  "&amp;Criterios!B11</f>
        <v>Resumenes por Partidos Judiciales  MERIDA</v>
      </c>
    </row>
    <row r="5" spans="1:7" ht="12.75" customHeight="1">
      <c r="A5" s="1365" t="str">
        <f>"Año:  " &amp;Criterios!B5 &amp; "    Trimestre   " &amp;Criterios!D5 &amp; " al " &amp;Criterios!D6</f>
        <v>Año:  2023    Trimestre   3 al 3</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1</v>
      </c>
      <c r="C10" s="459">
        <f>IF(ISNUMBER(NºAsuntos!I10/NºAsuntos!G10),NºAsuntos!I10/NºAsuntos!G10," - ")</f>
        <v>3.5</v>
      </c>
      <c r="D10" s="460">
        <f>IF(ISNUMBER('Resol  Asuntos'!D10/NºAsuntos!G10),'Resol  Asuntos'!D10/NºAsuntos!G10," - ")</f>
        <v>0</v>
      </c>
      <c r="E10" s="461">
        <f>IF(ISNUMBER((NºAsuntos!C10+NºAsuntos!E10)/NºAsuntos!G10),(NºAsuntos!C10+NºAsuntos!E10)/NºAsuntos!G10," - ")</f>
        <v>4.5</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0.89497716894977164</v>
      </c>
      <c r="C12" s="459">
        <f>IF(ISNUMBER(NºAsuntos!I12/NºAsuntos!G12),NºAsuntos!I12/NºAsuntos!G12," - ")</f>
        <v>2.2806122448979593</v>
      </c>
      <c r="D12" s="460">
        <f>IF(ISNUMBER('Resol  Asuntos'!D12/NºAsuntos!G12),'Resol  Asuntos'!D12/NºAsuntos!G12," - ")</f>
        <v>0.17448979591836736</v>
      </c>
      <c r="E12" s="461">
        <f>IF(ISNUMBER((NºAsuntos!C12+NºAsuntos!E12)/NºAsuntos!G12),(NºAsuntos!C12+NºAsuntos!E12)/NºAsuntos!G12," - ")</f>
        <v>3.2846938775510206</v>
      </c>
      <c r="G12" s="479"/>
    </row>
    <row r="13" spans="1:7" ht="14.25" thickTop="1" thickBot="1">
      <c r="A13" s="994" t="str">
        <f>Datos!A13</f>
        <v>TOTAL</v>
      </c>
      <c r="B13" s="1004">
        <f>IF(ISNUMBER(NºAsuntos!G13/NºAsuntos!E13),NºAsuntos!G13/NºAsuntos!E13," - ")</f>
        <v>0.89535941765241134</v>
      </c>
      <c r="C13" s="1005">
        <f>IF(ISNUMBER(NºAsuntos!I13/NºAsuntos!G13),NºAsuntos!I13/NºAsuntos!G13," - ")</f>
        <v>2.285569105691057</v>
      </c>
      <c r="D13" s="1006">
        <f>IF(ISNUMBER('Resol  Asuntos'!D13/NºAsuntos!G13),'Resol  Asuntos'!D13/NºAsuntos!G13," - ")</f>
        <v>0.17378048780487804</v>
      </c>
      <c r="E13" s="1007">
        <f>IF(ISNUMBER((NºAsuntos!C13+NºAsuntos!E13)/NºAsuntos!G13),(NºAsuntos!C13+NºAsuntos!E13)/NºAsuntos!G13," - ")</f>
        <v>3.2896341463414633</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0.89661654135338342</v>
      </c>
      <c r="C16" s="459">
        <f>IF(ISNUMBER(NºAsuntos!I16/NºAsuntos!G16),NºAsuntos!I16/NºAsuntos!G16," - ")</f>
        <v>1.6530398322851152</v>
      </c>
      <c r="D16" s="460">
        <f>IF(ISNUMBER('Resol  Asuntos'!D16/NºAsuntos!G16),'Resol  Asuntos'!D16/NºAsuntos!G16," - ")</f>
        <v>0.1090146750524109</v>
      </c>
      <c r="E16" s="461">
        <f>IF(ISNUMBER((NºAsuntos!C16+NºAsuntos!E16)/NºAsuntos!G16),(NºAsuntos!C16+NºAsuntos!E16)/NºAsuntos!G16," - ")</f>
        <v>2.6446540880503147</v>
      </c>
      <c r="G16" s="479"/>
    </row>
    <row r="17" spans="1:7" ht="13.5" thickBot="1">
      <c r="A17" s="413" t="str">
        <f>Datos!A17</f>
        <v>Jdos. Violencia contra la mujer</v>
      </c>
      <c r="B17" s="458">
        <f>IF(ISNUMBER(NºAsuntos!G17/NºAsuntos!E17),NºAsuntos!G17/NºAsuntos!E17," - ")</f>
        <v>1.4835164835164836</v>
      </c>
      <c r="C17" s="459">
        <f>IF(ISNUMBER(NºAsuntos!I17/NºAsuntos!G17),NºAsuntos!I17/NºAsuntos!G17," - ")</f>
        <v>1.6296296296296295</v>
      </c>
      <c r="D17" s="460">
        <f>IF(ISNUMBER('Resol  Asuntos'!D17/NºAsuntos!G17),'Resol  Asuntos'!D17/NºAsuntos!G17," - ")</f>
        <v>4.4444444444444446E-2</v>
      </c>
      <c r="E17" s="461">
        <f>IF(ISNUMBER((NºAsuntos!C17+NºAsuntos!E17)/NºAsuntos!G17),(NºAsuntos!C17+NºAsuntos!E17)/NºAsuntos!G17," - ")</f>
        <v>2.6296296296296298</v>
      </c>
      <c r="G17" s="479"/>
    </row>
    <row r="18" spans="1:7" ht="14.25" thickTop="1" thickBot="1">
      <c r="A18" s="994" t="str">
        <f>Datos!A18</f>
        <v>TOTAL</v>
      </c>
      <c r="B18" s="1004">
        <f>IF(ISNUMBER(NºAsuntos!G18/NºAsuntos!E18),NºAsuntos!G18/NºAsuntos!E18," - ")</f>
        <v>0.94285714285714284</v>
      </c>
      <c r="C18" s="1005">
        <f>IF(ISNUMBER(NºAsuntos!I18/NºAsuntos!G18),NºAsuntos!I18/NºAsuntos!G18," - ")</f>
        <v>1.6501377410468319</v>
      </c>
      <c r="D18" s="1008">
        <f>IF(ISNUMBER('Resol  Asuntos'!D18/NºAsuntos!G18),'Resol  Asuntos'!D18/NºAsuntos!G18," - ")</f>
        <v>0.10101010101010101</v>
      </c>
      <c r="E18" s="1007">
        <f>IF(ISNUMBER((NºAsuntos!C18+NºAsuntos!E18)/NºAsuntos!G18),(NºAsuntos!C18+NºAsuntos!E18)/NºAsuntos!G18," - ")</f>
        <v>2.642791551882461</v>
      </c>
      <c r="G18" s="479"/>
    </row>
    <row r="19" spans="1:7" ht="15.75" customHeight="1" thickTop="1" thickBot="1">
      <c r="A19" s="939" t="str">
        <f>Datos!A19</f>
        <v>TOTAL JURISDICCIONES</v>
      </c>
      <c r="B19" s="954">
        <f>IF(ISNUMBER(NºAsuntos!G19/NºAsuntos!E19),NºAsuntos!G19/NºAsuntos!E19," - ")</f>
        <v>0.91969831410825198</v>
      </c>
      <c r="C19" s="955">
        <f>IF(ISNUMBER(NºAsuntos!I19/NºAsuntos!G19),NºAsuntos!I19/NºAsuntos!G19," - ")</f>
        <v>1.9517607332368547</v>
      </c>
      <c r="D19" s="956">
        <f>IF(ISNUMBER('Resol  Asuntos'!D19/NºAsuntos!G19),'Resol  Asuntos'!D19/NºAsuntos!G19," - ")</f>
        <v>0.13555233960443802</v>
      </c>
      <c r="E19" s="957">
        <f>IF(ISNUMBER((NºAsuntos!C19+NºAsuntos!E19)/NºAsuntos!G19),(NºAsuntos!C19+NºAsuntos!E19)/NºAsuntos!G19," - ")</f>
        <v>2.9498311625663289</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29 nov.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BQAFd/xOV9hjeOljUOICf+746PVgD0/hRCsrsbpvsaJH0uwZgF3FJKhy5gAsVQFznMmZu7Zd+0NjKBSaydfdMQ==" saltValue="plPrfPFfraTJnIMBF7YRd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EXTREMADURA</v>
      </c>
      <c r="G2" s="339"/>
      <c r="H2" s="338"/>
      <c r="I2" s="338"/>
      <c r="J2" s="338"/>
      <c r="K2" s="338"/>
      <c r="L2" s="338" t="str">
        <f>Criterios!A10 &amp;"  "&amp;Criterios!B10</f>
        <v>Provincias  BADAJOZ</v>
      </c>
      <c r="N2" s="338" t="str">
        <f>Criterios!A11 &amp;"  "&amp;Criterios!B11</f>
        <v>Resumenes por Partidos Judiciales  MERIDA</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42" t="s">
        <v>354</v>
      </c>
      <c r="B5" s="276"/>
      <c r="C5" s="1445" t="str">
        <f>"Año:  " &amp;Criterios!B$5 &amp; "          Trimestre   " &amp;Criterios!D$5 &amp; " al " &amp;Criterios!D$6</f>
        <v>Año:  2023          Trimestre   3 al 3</v>
      </c>
      <c r="D5" s="1415" t="s">
        <v>380</v>
      </c>
      <c r="E5" s="1415" t="s">
        <v>321</v>
      </c>
      <c r="F5" s="1447" t="s">
        <v>410</v>
      </c>
      <c r="G5" s="1450" t="s">
        <v>128</v>
      </c>
      <c r="H5" s="1406" t="s">
        <v>162</v>
      </c>
      <c r="I5" s="1406" t="s">
        <v>166</v>
      </c>
      <c r="J5" s="1406" t="s">
        <v>167</v>
      </c>
      <c r="K5" s="1406" t="s">
        <v>411</v>
      </c>
      <c r="L5" s="1406" t="s">
        <v>591</v>
      </c>
      <c r="M5" s="1406" t="s">
        <v>325</v>
      </c>
      <c r="N5" s="1406" t="s">
        <v>381</v>
      </c>
      <c r="O5" s="1406" t="s">
        <v>413</v>
      </c>
      <c r="P5" s="1406" t="s">
        <v>165</v>
      </c>
      <c r="Q5" s="1406" t="s">
        <v>41</v>
      </c>
      <c r="R5" s="1421" t="s">
        <v>168</v>
      </c>
      <c r="S5" s="1424" t="s">
        <v>171</v>
      </c>
      <c r="T5" s="1412" t="s">
        <v>172</v>
      </c>
      <c r="U5" s="1409" t="s">
        <v>173</v>
      </c>
      <c r="V5" s="1436" t="s">
        <v>323</v>
      </c>
      <c r="W5" s="1453" t="s">
        <v>174</v>
      </c>
      <c r="X5" s="1456" t="s">
        <v>175</v>
      </c>
      <c r="Y5" s="1456" t="s">
        <v>176</v>
      </c>
      <c r="Z5" s="1439" t="s">
        <v>177</v>
      </c>
      <c r="AA5" s="1427" t="s">
        <v>178</v>
      </c>
      <c r="AB5" s="1406" t="s">
        <v>179</v>
      </c>
      <c r="AC5" s="1406" t="s">
        <v>180</v>
      </c>
      <c r="AD5" s="1459" t="s">
        <v>181</v>
      </c>
      <c r="AE5" s="1415" t="s">
        <v>184</v>
      </c>
      <c r="AF5" s="1430" t="s">
        <v>182</v>
      </c>
      <c r="AG5" s="1406" t="s">
        <v>183</v>
      </c>
      <c r="AH5" s="1421" t="s">
        <v>202</v>
      </c>
      <c r="AI5" s="1427" t="s">
        <v>185</v>
      </c>
      <c r="AJ5" s="1433" t="s">
        <v>250</v>
      </c>
      <c r="AK5" s="1418" t="s">
        <v>251</v>
      </c>
      <c r="AL5" s="1415" t="s">
        <v>252</v>
      </c>
      <c r="AM5" s="1415" t="s">
        <v>362</v>
      </c>
      <c r="AN5" s="1415" t="s">
        <v>253</v>
      </c>
      <c r="AO5" s="1415" t="s">
        <v>254</v>
      </c>
      <c r="AP5" s="1415" t="s">
        <v>304</v>
      </c>
      <c r="AQ5" s="1415" t="s">
        <v>186</v>
      </c>
      <c r="AR5" s="1415" t="s">
        <v>187</v>
      </c>
      <c r="AS5" s="1415" t="s">
        <v>392</v>
      </c>
      <c r="AT5" s="1415" t="s">
        <v>297</v>
      </c>
      <c r="AU5" s="1415" t="s">
        <v>298</v>
      </c>
      <c r="AV5" s="1415" t="s">
        <v>336</v>
      </c>
      <c r="AW5" s="1415" t="s">
        <v>850</v>
      </c>
      <c r="AX5" s="1415" t="s">
        <v>324</v>
      </c>
      <c r="AY5" s="1415" t="s">
        <v>761</v>
      </c>
      <c r="AZ5" s="1415" t="s">
        <v>762</v>
      </c>
      <c r="BF5" s="1404" t="s">
        <v>203</v>
      </c>
      <c r="BG5" s="1405"/>
      <c r="BH5" s="1404" t="s">
        <v>204</v>
      </c>
      <c r="BI5" s="1405"/>
      <c r="BJ5" s="1404" t="s">
        <v>205</v>
      </c>
      <c r="BK5" s="1405"/>
      <c r="BL5" s="1404" t="s">
        <v>206</v>
      </c>
      <c r="BM5" s="1405"/>
    </row>
    <row r="6" spans="1:65" ht="21.75" customHeight="1">
      <c r="A6" s="1443"/>
      <c r="B6" s="277"/>
      <c r="C6" s="1446"/>
      <c r="D6" s="1416"/>
      <c r="E6" s="1416"/>
      <c r="F6" s="1448"/>
      <c r="G6" s="1451"/>
      <c r="H6" s="1407"/>
      <c r="I6" s="1407"/>
      <c r="J6" s="1407"/>
      <c r="K6" s="1407"/>
      <c r="L6" s="1407"/>
      <c r="M6" s="1407"/>
      <c r="N6" s="1407"/>
      <c r="O6" s="1407"/>
      <c r="P6" s="1407"/>
      <c r="Q6" s="1407"/>
      <c r="R6" s="1422"/>
      <c r="S6" s="1425"/>
      <c r="T6" s="1413"/>
      <c r="U6" s="1410"/>
      <c r="V6" s="1437"/>
      <c r="W6" s="1454"/>
      <c r="X6" s="1457"/>
      <c r="Y6" s="1457"/>
      <c r="Z6" s="1440"/>
      <c r="AA6" s="1428"/>
      <c r="AB6" s="1407"/>
      <c r="AC6" s="1407"/>
      <c r="AD6" s="1460"/>
      <c r="AE6" s="1416"/>
      <c r="AF6" s="1431"/>
      <c r="AG6" s="1407"/>
      <c r="AH6" s="1422"/>
      <c r="AI6" s="1428"/>
      <c r="AJ6" s="1434"/>
      <c r="AK6" s="1419"/>
      <c r="AL6" s="1416"/>
      <c r="AM6" s="1416"/>
      <c r="AN6" s="1416"/>
      <c r="AO6" s="1416"/>
      <c r="AP6" s="1416"/>
      <c r="AQ6" s="1416"/>
      <c r="AR6" s="1416"/>
      <c r="AS6" s="1416"/>
      <c r="AT6" s="1416"/>
      <c r="AU6" s="1416"/>
      <c r="AV6" s="1416"/>
      <c r="AW6" s="1416"/>
      <c r="AX6" s="1416"/>
      <c r="AY6" s="1416"/>
      <c r="AZ6" s="1416"/>
      <c r="BF6" s="1402" t="s">
        <v>163</v>
      </c>
      <c r="BG6" s="1402" t="s">
        <v>164</v>
      </c>
      <c r="BH6" s="1402" t="s">
        <v>163</v>
      </c>
      <c r="BI6" s="1402" t="s">
        <v>164</v>
      </c>
      <c r="BJ6" s="1402" t="s">
        <v>163</v>
      </c>
      <c r="BK6" s="1402" t="s">
        <v>164</v>
      </c>
      <c r="BL6" s="1402" t="s">
        <v>163</v>
      </c>
      <c r="BM6" s="1402" t="s">
        <v>164</v>
      </c>
    </row>
    <row r="7" spans="1:65" ht="38.25" customHeight="1" thickBot="1">
      <c r="A7" s="1444"/>
      <c r="B7" s="278"/>
      <c r="C7" s="268" t="str">
        <f>Datos!A7</f>
        <v>COMPETENCIAS</v>
      </c>
      <c r="D7" s="1417"/>
      <c r="E7" s="1417"/>
      <c r="F7" s="1449"/>
      <c r="G7" s="1452"/>
      <c r="H7" s="1408"/>
      <c r="I7" s="1408"/>
      <c r="J7" s="1408"/>
      <c r="K7" s="1408"/>
      <c r="L7" s="1408"/>
      <c r="M7" s="1408"/>
      <c r="N7" s="1408"/>
      <c r="O7" s="1408"/>
      <c r="P7" s="1408"/>
      <c r="Q7" s="1408"/>
      <c r="R7" s="1423"/>
      <c r="S7" s="1426"/>
      <c r="T7" s="1414"/>
      <c r="U7" s="1411"/>
      <c r="V7" s="1438"/>
      <c r="W7" s="1455"/>
      <c r="X7" s="1458"/>
      <c r="Y7" s="1458"/>
      <c r="Z7" s="1441"/>
      <c r="AA7" s="1429"/>
      <c r="AB7" s="1408"/>
      <c r="AC7" s="1408"/>
      <c r="AD7" s="1461"/>
      <c r="AE7" s="1417"/>
      <c r="AF7" s="1432"/>
      <c r="AG7" s="1408"/>
      <c r="AH7" s="1423"/>
      <c r="AI7" s="1429"/>
      <c r="AJ7" s="1435"/>
      <c r="AK7" s="1420"/>
      <c r="AL7" s="1417"/>
      <c r="AM7" s="1417"/>
      <c r="AN7" s="1417"/>
      <c r="AO7" s="1417"/>
      <c r="AP7" s="1417"/>
      <c r="AQ7" s="1417"/>
      <c r="AR7" s="1417"/>
      <c r="AS7" s="1417"/>
      <c r="AT7" s="1417"/>
      <c r="AU7" s="1417"/>
      <c r="AV7" s="1417"/>
      <c r="AW7" s="1417"/>
      <c r="AX7" s="1417"/>
      <c r="AY7" s="1417"/>
      <c r="AZ7" s="1417"/>
      <c r="BF7" s="1403"/>
      <c r="BG7" s="1403"/>
      <c r="BH7" s="1403"/>
      <c r="BI7" s="1403"/>
      <c r="BJ7" s="1403"/>
      <c r="BK7" s="1403"/>
      <c r="BL7" s="1403"/>
      <c r="BM7" s="1403"/>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14</v>
      </c>
      <c r="G10" s="342">
        <f>IF(ISNUMBER(Datos!I10),Datos!I10," - ")</f>
        <v>14</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4</v>
      </c>
      <c r="X10" s="230">
        <f>IF(ISNUMBER(Datos!Q10),Datos!Q10," - ")</f>
        <v>0</v>
      </c>
      <c r="Y10" s="343">
        <f t="shared" ref="Y10:Y12" si="0">SUM(W10:X10)</f>
        <v>4</v>
      </c>
      <c r="Z10" s="344" t="str">
        <f>IF(ISNUMBER(Datos!CC10),Datos!CC10," - ")</f>
        <v xml:space="preserve"> - </v>
      </c>
      <c r="AA10" s="341">
        <f>IF(ISNUMBER(Datos!L10),Datos!L10,"-")</f>
        <v>14</v>
      </c>
      <c r="AB10" s="343">
        <f>IF(ISNUMBER(Datos!R10),Datos!R10," - ")</f>
        <v>0</v>
      </c>
      <c r="AC10" s="343">
        <f t="shared" ref="AC10:AC12" si="1">IF(ISNUMBER(AA10+AB10),AA10+AB10," - ")</f>
        <v>14</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0</v>
      </c>
      <c r="AJ10" s="235" t="str">
        <f>IF(ISNUMBER(Datos!BW10),Datos!BW10," - ")</f>
        <v xml:space="preserve"> - </v>
      </c>
      <c r="AK10" s="236" t="str">
        <f>IF(ISNUMBER(Datos!BX10),Datos!BX10," - ")</f>
        <v xml:space="preserve"> - </v>
      </c>
      <c r="AL10" s="247">
        <f>IF(ISNUMBER(NºAsuntos!G10/NºAsuntos!E10),NºAsuntos!G10/NºAsuntos!E10," - ")</f>
        <v>1</v>
      </c>
      <c r="AM10" s="264">
        <f>IF(ISNUMBER(((NºAsuntos!I10/NºAsuntos!G10)*11)/factor_trimestre),((NºAsuntos!I10/NºAsuntos!G10)*11)/factor_trimestre," - ")</f>
        <v>7</v>
      </c>
      <c r="AN10" s="248">
        <f>IF(ISNUMBER('Resol  Asuntos'!D10/NºAsuntos!G10),'Resol  Asuntos'!D10/NºAsuntos!G10," - ")</f>
        <v>0</v>
      </c>
      <c r="AO10" s="249">
        <f>IF(ISNUMBER((NºAsuntos!C10+NºAsuntos!E10)/NºAsuntos!G10),(NºAsuntos!C10+NºAsuntos!E10)/NºAsuntos!G10," - ")</f>
        <v>4.5</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5</v>
      </c>
      <c r="B12" s="279" t="s">
        <v>249</v>
      </c>
      <c r="C12" s="7" t="str">
        <f>Datos!A12</f>
        <v xml:space="preserve">Jdos. 1ª Instª. e Instr.                        </v>
      </c>
      <c r="D12" s="7"/>
      <c r="E12" s="1201">
        <f>IF(ISNUMBER(Datos!AQ12),Datos!AQ12," - ")</f>
        <v>5</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175</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307</v>
      </c>
      <c r="Y12" s="343">
        <f t="shared" si="0"/>
        <v>307</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4971</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171</v>
      </c>
      <c r="AJ12" s="233" t="str">
        <f>IF(ISNUMBER(Datos!BW12),Datos!BW12," - ")</f>
        <v xml:space="preserve"> - </v>
      </c>
      <c r="AK12" s="232" t="str">
        <f>IF(ISNUMBER(Datos!BX12),Datos!BX12," - ")</f>
        <v xml:space="preserve"> - </v>
      </c>
      <c r="AL12" s="247">
        <f>IF(ISNUMBER(NºAsuntos!G12/NºAsuntos!E12),NºAsuntos!G12/NºAsuntos!E12," - ")</f>
        <v>0.89497716894977164</v>
      </c>
      <c r="AM12" s="264">
        <f>IF(ISNUMBER(((NºAsuntos!I12/NºAsuntos!G12)*11)/factor_trimestre),((NºAsuntos!I12/NºAsuntos!G12)*11)/factor_trimestre," - ")</f>
        <v>4.5612244897959187</v>
      </c>
      <c r="AN12" s="248">
        <f>IF(ISNUMBER('Resol  Asuntos'!D12/NºAsuntos!G12),'Resol  Asuntos'!D12/NºAsuntos!G12," - ")</f>
        <v>0.17448979591836736</v>
      </c>
      <c r="AO12" s="249">
        <f>IF(ISNUMBER((NºAsuntos!C12+NºAsuntos!E12)/NºAsuntos!G12),(NºAsuntos!C12+NºAsuntos!E12)/NºAsuntos!G12," - ")</f>
        <v>3.2846938775510206</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5</v>
      </c>
      <c r="F13" s="1011">
        <f t="shared" si="3"/>
        <v>14</v>
      </c>
      <c r="G13" s="1012">
        <f t="shared" si="3"/>
        <v>14</v>
      </c>
      <c r="H13" s="1011">
        <f t="shared" si="3"/>
        <v>0</v>
      </c>
      <c r="I13" s="1013">
        <f t="shared" si="3"/>
        <v>0</v>
      </c>
      <c r="J13" s="1013">
        <f t="shared" si="3"/>
        <v>0</v>
      </c>
      <c r="K13" s="1013">
        <f t="shared" si="3"/>
        <v>0</v>
      </c>
      <c r="L13" s="1013">
        <f t="shared" si="3"/>
        <v>175</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4</v>
      </c>
      <c r="X13" s="1013">
        <f t="shared" si="4"/>
        <v>307</v>
      </c>
      <c r="Y13" s="1014">
        <f t="shared" si="4"/>
        <v>311</v>
      </c>
      <c r="Z13" s="1014">
        <f t="shared" si="4"/>
        <v>0</v>
      </c>
      <c r="AA13" s="1014">
        <f t="shared" si="4"/>
        <v>14</v>
      </c>
      <c r="AB13" s="1014">
        <f t="shared" si="4"/>
        <v>4971</v>
      </c>
      <c r="AC13" s="1014">
        <f t="shared" si="4"/>
        <v>14</v>
      </c>
      <c r="AD13" s="1014">
        <f t="shared" si="4"/>
        <v>0</v>
      </c>
      <c r="AE13" s="1018">
        <f t="shared" si="4"/>
        <v>0</v>
      </c>
      <c r="AF13" s="1011">
        <f t="shared" si="4"/>
        <v>0</v>
      </c>
      <c r="AG13" s="1019">
        <f t="shared" si="4"/>
        <v>0</v>
      </c>
      <c r="AH13" s="1016">
        <f t="shared" si="4"/>
        <v>0</v>
      </c>
      <c r="AI13" s="1011">
        <f t="shared" si="4"/>
        <v>171</v>
      </c>
      <c r="AJ13" s="1013">
        <f t="shared" si="4"/>
        <v>0</v>
      </c>
      <c r="AK13" s="1016">
        <f>SUBTOTAL(9,AK9:AK12)</f>
        <v>0</v>
      </c>
      <c r="AL13" s="1020">
        <f>IF(ISNUMBER(NºAsuntos!G13/NºAsuntos!E13),NºAsuntos!G13/NºAsuntos!E13," - ")</f>
        <v>0.89535941765241134</v>
      </c>
      <c r="AM13" s="1020">
        <f>IF(ISNUMBER(((NºAsuntos!I13/NºAsuntos!G13)*11)/factor_trimestre),((NºAsuntos!I13/NºAsuntos!G13)*11)/factor_trimestre," - ")</f>
        <v>4.571138211382114</v>
      </c>
      <c r="AN13" s="1021">
        <f>IF(ISNUMBER('Resol  Asuntos'!D13/NºAsuntos!G13),'Resol  Asuntos'!D13/NºAsuntos!G13," - ")</f>
        <v>0.17378048780487804</v>
      </c>
      <c r="AO13" s="1022">
        <f>IF(ISNUMBER((NºAsuntos!C13+NºAsuntos!E13)/NºAsuntos!G13),(NºAsuntos!C13+NºAsuntos!E13)/NºAsuntos!G13," - ")</f>
        <v>3.2896341463414633</v>
      </c>
      <c r="AP13" s="1023" t="str">
        <f t="shared" si="2"/>
        <v xml:space="preserve"> - </v>
      </c>
      <c r="AQ13" s="1023">
        <f>IF(ISNUMBER((H13-W13+K13)/(F13)),(H13-W13+K13)/(F13)," - ")</f>
        <v>-0.2857142857142857</v>
      </c>
      <c r="AR13" s="1024">
        <f>IF(ISNUMBER((Datos!P13-Datos!Q13)/(Datos!R13-Datos!P13+Datos!Q13)),(Datos!P13-Datos!Q13)/(Datos!R13-Datos!P13+Datos!Q13)," - ")</f>
        <v>-2.5867136978248089E-2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5</v>
      </c>
      <c r="B16" s="279" t="s">
        <v>400</v>
      </c>
      <c r="C16" s="164" t="str">
        <f>Datos!A16</f>
        <v xml:space="preserve">Jdos. 1ª Instª. e Instr.                        </v>
      </c>
      <c r="D16" s="164"/>
      <c r="E16" s="1201">
        <f>IF(ISNUMBER(Datos!AQ16),Datos!AQ16," - ")</f>
        <v>5</v>
      </c>
      <c r="F16" s="229">
        <f>IF(ISNUMBER(AA16+W16-Datos!J16-K16),AA16+W16-Datos!J16-K16," - ")</f>
        <v>1467</v>
      </c>
      <c r="G16" s="342">
        <f>IF(ISNUMBER(IF(D_I="SI",Datos!I16,Datos!I16+Datos!AC16)),IF(D_I="SI",Datos!I16,Datos!I16+Datos!AC16)," - ")</f>
        <v>1459</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45</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954</v>
      </c>
      <c r="X16" s="230">
        <f>IF(ISNUMBER(Datos!Q16),Datos!Q16," - ")</f>
        <v>48</v>
      </c>
      <c r="Y16" s="343">
        <f t="shared" ref="Y16:Y17" si="7">SUM(W16:X16)</f>
        <v>1002</v>
      </c>
      <c r="Z16" s="344" t="str">
        <f>IF(ISNUMBER(Datos!CC16),Datos!CC16," - ")</f>
        <v xml:space="preserve"> - </v>
      </c>
      <c r="AA16" s="341">
        <f>IF(ISNUMBER(IF(D_I="SI",Datos!L16,Datos!L16+Datos!AF16)),IF(D_I="SI",Datos!L16,Datos!L16+Datos!AF16)," - ")</f>
        <v>1577</v>
      </c>
      <c r="AB16" s="343">
        <f>IF(ISNUMBER(Datos!R16),Datos!R16," - ")</f>
        <v>243</v>
      </c>
      <c r="AC16" s="343">
        <f t="shared" si="6"/>
        <v>1820</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104</v>
      </c>
      <c r="AJ16" s="235" t="str">
        <f>IF(ISNUMBER(Datos!BW16),Datos!BW16," - ")</f>
        <v xml:space="preserve"> - </v>
      </c>
      <c r="AK16" s="236" t="str">
        <f>IF(ISNUMBER(Datos!BX16),Datos!BX16," - ")</f>
        <v xml:space="preserve"> - </v>
      </c>
      <c r="AL16" s="247">
        <f>IF(ISNUMBER(NºAsuntos!G16/NºAsuntos!E16),NºAsuntos!G16/NºAsuntos!E16," - ")</f>
        <v>0.89661654135338342</v>
      </c>
      <c r="AM16" s="264">
        <f>IF(ISNUMBER(((NºAsuntos!I16/NºAsuntos!G16)*11)/factor_trimestre),((NºAsuntos!I16/NºAsuntos!G16)*11)/factor_trimestre," - ")</f>
        <v>3.3060796645702299</v>
      </c>
      <c r="AN16" s="248">
        <f>IF(ISNUMBER('Resol  Asuntos'!D16/NºAsuntos!G16),'Resol  Asuntos'!D16/NºAsuntos!G16," - ")</f>
        <v>0.1090146750524109</v>
      </c>
      <c r="AO16" s="249">
        <f>IF(ISNUMBER((NºAsuntos!C16+NºAsuntos!E16)/NºAsuntos!G16),(NºAsuntos!C16+NºAsuntos!E16)/NºAsuntos!G16," - ")</f>
        <v>2.6446540880503147</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264</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135</v>
      </c>
      <c r="X17" s="230">
        <f>IF(ISNUMBER(Datos!Q17),Datos!Q17," - ")</f>
        <v>0</v>
      </c>
      <c r="Y17" s="343">
        <f t="shared" si="7"/>
        <v>135</v>
      </c>
      <c r="Z17" s="344" t="str">
        <f>IF(ISNUMBER(Datos!CC17),Datos!CC17," - ")</f>
        <v xml:space="preserve"> - </v>
      </c>
      <c r="AA17" s="341">
        <f>IF(ISNUMBER(Datos!L17),Datos!L17,"-")</f>
        <v>220</v>
      </c>
      <c r="AB17" s="343">
        <f>IF(ISNUMBER(Datos!R17),Datos!R17," - ")</f>
        <v>3</v>
      </c>
      <c r="AC17" s="343">
        <f t="shared" si="6"/>
        <v>223</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6</v>
      </c>
      <c r="AJ17" s="235" t="str">
        <f>IF(ISNUMBER(Datos!BW17),Datos!BW17," - ")</f>
        <v xml:space="preserve"> - </v>
      </c>
      <c r="AK17" s="236" t="str">
        <f>IF(ISNUMBER(Datos!BX17),Datos!BX17," - ")</f>
        <v xml:space="preserve"> - </v>
      </c>
      <c r="AL17" s="247">
        <f>IF(ISNUMBER(NºAsuntos!G17/NºAsuntos!E17),NºAsuntos!G17/NºAsuntos!E17," - ")</f>
        <v>1.4835164835164836</v>
      </c>
      <c r="AM17" s="264">
        <f>IF(ISNUMBER(((NºAsuntos!I17/NºAsuntos!G17)*11)/factor_trimestre),((NºAsuntos!I17/NºAsuntos!G17)*11)/factor_trimestre," - ")</f>
        <v>3.2592592592592591</v>
      </c>
      <c r="AN17" s="248">
        <f>IF(ISNUMBER('Resol  Asuntos'!D17/NºAsuntos!G17),'Resol  Asuntos'!D17/NºAsuntos!G17," - ")</f>
        <v>4.4444444444444446E-2</v>
      </c>
      <c r="AO17" s="249">
        <f>IF(ISNUMBER((NºAsuntos!C17+NºAsuntos!E17)/NºAsuntos!G17),(NºAsuntos!C17+NºAsuntos!E17)/NºAsuntos!G17," - ")</f>
        <v>2.6296296296296298</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5</v>
      </c>
      <c r="F18" s="1011">
        <f>SUBTOTAL(9,F14:F17)</f>
        <v>1467</v>
      </c>
      <c r="G18" s="1012">
        <f>SUBTOTAL(9,G15:G17)</f>
        <v>1723</v>
      </c>
      <c r="H18" s="1011">
        <f t="shared" ref="H18:O18" si="10">SUBTOTAL(9,H14:H17)</f>
        <v>0</v>
      </c>
      <c r="I18" s="1013">
        <f t="shared" si="10"/>
        <v>0</v>
      </c>
      <c r="J18" s="1013">
        <f t="shared" si="10"/>
        <v>0</v>
      </c>
      <c r="K18" s="1013">
        <f t="shared" si="10"/>
        <v>0</v>
      </c>
      <c r="L18" s="1013">
        <f t="shared" si="10"/>
        <v>45</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1089</v>
      </c>
      <c r="X18" s="1013">
        <f t="shared" si="11"/>
        <v>48</v>
      </c>
      <c r="Y18" s="1014">
        <f t="shared" si="11"/>
        <v>1137</v>
      </c>
      <c r="Z18" s="1014">
        <f t="shared" si="11"/>
        <v>0</v>
      </c>
      <c r="AA18" s="1014">
        <f t="shared" si="11"/>
        <v>1797</v>
      </c>
      <c r="AB18" s="1014">
        <f t="shared" si="11"/>
        <v>246</v>
      </c>
      <c r="AC18" s="1014">
        <f t="shared" si="11"/>
        <v>2043</v>
      </c>
      <c r="AD18" s="1014">
        <f t="shared" si="11"/>
        <v>0</v>
      </c>
      <c r="AE18" s="1018">
        <f t="shared" si="11"/>
        <v>0</v>
      </c>
      <c r="AF18" s="1011">
        <f t="shared" si="11"/>
        <v>0</v>
      </c>
      <c r="AG18" s="1019">
        <f t="shared" si="11"/>
        <v>0</v>
      </c>
      <c r="AH18" s="1016">
        <f t="shared" si="11"/>
        <v>0</v>
      </c>
      <c r="AI18" s="1011">
        <f t="shared" si="11"/>
        <v>110</v>
      </c>
      <c r="AJ18" s="1013">
        <f t="shared" si="11"/>
        <v>0</v>
      </c>
      <c r="AK18" s="1016">
        <f t="shared" si="11"/>
        <v>0</v>
      </c>
      <c r="AL18" s="1020">
        <f>IF(ISNUMBER(NºAsuntos!G18/NºAsuntos!E18),NºAsuntos!G18/NºAsuntos!E18," - ")</f>
        <v>0.94285714285714284</v>
      </c>
      <c r="AM18" s="1020">
        <f>IF(ISNUMBER(((NºAsuntos!I18/NºAsuntos!G18)*11)/factor_trimestre),((NºAsuntos!I18/NºAsuntos!G18)*11)/factor_trimestre," - ")</f>
        <v>3.3002754820936633</v>
      </c>
      <c r="AN18" s="1021">
        <f>IF(ISNUMBER('Resol  Asuntos'!D18/NºAsuntos!G18),'Resol  Asuntos'!D18/NºAsuntos!G18," - ")</f>
        <v>0.10101010101010101</v>
      </c>
      <c r="AO18" s="1022">
        <f>IF(ISNUMBER((NºAsuntos!C18+NºAsuntos!E18)/NºAsuntos!G18),(NºAsuntos!C18+NºAsuntos!E18)/NºAsuntos!G18," - ")</f>
        <v>2.642791551882461</v>
      </c>
      <c r="AP18" s="1023" t="str">
        <f t="shared" si="2"/>
        <v xml:space="preserve"> - </v>
      </c>
      <c r="AQ18" s="1023">
        <f>IF(ISNUMBER((H18-W18+K18)/(F18)),(H18-W18+K18)/(F18)," - ")</f>
        <v>-0.74233128834355833</v>
      </c>
      <c r="AR18" s="1024">
        <f>IF(ISNUMBER((Datos!P18-Datos!Q18)/(Datos!R18-Datos!P18+Datos!Q18)),(Datos!P18-Datos!Q18)/(Datos!R18-Datos!P18+Datos!Q18)," - ")</f>
        <v>-1.2048192771084338E-2</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10</v>
      </c>
      <c r="F19" s="966">
        <f t="shared" si="13"/>
        <v>1481</v>
      </c>
      <c r="G19" s="967">
        <f t="shared" si="13"/>
        <v>1737</v>
      </c>
      <c r="H19" s="966">
        <f t="shared" si="13"/>
        <v>0</v>
      </c>
      <c r="I19" s="968">
        <f t="shared" si="13"/>
        <v>0</v>
      </c>
      <c r="J19" s="968">
        <f t="shared" si="13"/>
        <v>0</v>
      </c>
      <c r="K19" s="1027">
        <f t="shared" si="13"/>
        <v>0</v>
      </c>
      <c r="L19" s="968">
        <f t="shared" si="13"/>
        <v>220</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1093</v>
      </c>
      <c r="X19" s="967">
        <f t="shared" si="14"/>
        <v>355</v>
      </c>
      <c r="Y19" s="974">
        <f t="shared" si="14"/>
        <v>1448</v>
      </c>
      <c r="Z19" s="974">
        <f t="shared" si="14"/>
        <v>0</v>
      </c>
      <c r="AA19" s="974">
        <f t="shared" si="14"/>
        <v>1811</v>
      </c>
      <c r="AB19" s="974">
        <f t="shared" si="14"/>
        <v>5217</v>
      </c>
      <c r="AC19" s="974">
        <f t="shared" si="14"/>
        <v>2057</v>
      </c>
      <c r="AD19" s="974">
        <f t="shared" si="14"/>
        <v>0</v>
      </c>
      <c r="AE19" s="976">
        <f t="shared" si="14"/>
        <v>0</v>
      </c>
      <c r="AF19" s="977">
        <f t="shared" si="14"/>
        <v>0</v>
      </c>
      <c r="AG19" s="978">
        <f t="shared" si="14"/>
        <v>0</v>
      </c>
      <c r="AH19" s="976">
        <f t="shared" si="14"/>
        <v>0</v>
      </c>
      <c r="AI19" s="966">
        <f t="shared" si="14"/>
        <v>281</v>
      </c>
      <c r="AJ19" s="966">
        <f t="shared" si="14"/>
        <v>0</v>
      </c>
      <c r="AK19" s="976">
        <f t="shared" si="14"/>
        <v>0</v>
      </c>
      <c r="AL19" s="1030">
        <f>IF(ISNUMBER(NºAsuntos!G19/NºAsuntos!E19),NºAsuntos!G19/NºAsuntos!E19," - ")</f>
        <v>0.91969831410825198</v>
      </c>
      <c r="AM19" s="1031">
        <f>IF(ISNUMBER(((NºAsuntos!I19/NºAsuntos!G19)*11)/factor_trimestre),((NºAsuntos!I19/NºAsuntos!G19)*11)/factor_trimestre," - ")</f>
        <v>3.9035214664737095</v>
      </c>
      <c r="AN19" s="1031">
        <f>IF(ISNUMBER('Resol  Asuntos'!D19/NºAsuntos!G19),'Resol  Asuntos'!D19/NºAsuntos!G19," - ")</f>
        <v>0.13555233960443802</v>
      </c>
      <c r="AO19" s="1032">
        <f>IF(ISNUMBER((NºAsuntos!C19+NºAsuntos!E19)/NºAsuntos!G19),(NºAsuntos!C19+NºAsuntos!E19)/NºAsuntos!G19," - ")</f>
        <v>2.9498311625663289</v>
      </c>
      <c r="AP19" s="1033" t="str">
        <f t="shared" si="2"/>
        <v xml:space="preserve"> - </v>
      </c>
      <c r="AQ19" s="1034">
        <f>IF(OR(ISNUMBER(FIND("01",Criterios!A8,1)),ISNUMBER(FIND("02",Criterios!A8,1)),ISNUMBER(FIND("03",Criterios!A8,1)),ISNUMBER(FIND("04",Criterios!A8,1))),(I19-W19+K19)/(F19-K19),(H19-W19+K19)/(F19-K19))</f>
        <v>-0.73801485482781903</v>
      </c>
      <c r="AR19" s="1035">
        <f>IF(ISNUMBER((Datos!P19-Datos!Q19)/(Datos!R19-Datos!P19+Datos!Q19)),(Datos!P19-Datos!Q19)/(Datos!R19-Datos!P19+Datos!Q19)," - ")</f>
        <v>-2.5224215246636771E-2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694.8</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2.6352313834736494</v>
      </c>
      <c r="F21" s="256">
        <f>IF(ISNUMBER(STDEV(F8:F18)),STDEV(F8:F18),"-")</f>
        <v>838.88994113252625</v>
      </c>
      <c r="G21" s="257">
        <f>IF(ISNUMBER(STDEV(G8:G18)),STDEV(G8:G18),"-")</f>
        <v>829.72326711982714</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538.18556279409802</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75.885879231031296</v>
      </c>
      <c r="AJ21" s="256">
        <f t="shared" si="18"/>
        <v>0</v>
      </c>
      <c r="AK21" s="258">
        <f t="shared" si="18"/>
        <v>0</v>
      </c>
      <c r="AL21" s="253">
        <f t="shared" si="18"/>
        <v>0.23133550950270482</v>
      </c>
      <c r="AM21" s="254">
        <f t="shared" si="18"/>
        <v>1.4488402057443088</v>
      </c>
      <c r="AN21" s="254">
        <f t="shared" si="18"/>
        <v>6.9512220056935053E-2</v>
      </c>
      <c r="AO21" s="255">
        <f t="shared" si="18"/>
        <v>0.72693437549625417</v>
      </c>
      <c r="AP21" s="295" t="str">
        <f t="shared" si="18"/>
        <v>-</v>
      </c>
      <c r="AQ21" s="296">
        <f t="shared" si="18"/>
        <v>0.32287697896423423</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29 nov. 2023</v>
      </c>
      <c r="D30" s="121"/>
    </row>
    <row r="32" spans="1:65">
      <c r="C32" s="1"/>
      <c r="D32" s="1"/>
    </row>
  </sheetData>
  <sheetProtection algorithmName="SHA-512" hashValue="Dv/HSPELfx1WpdFul4VEBYoTykYRU8+3Wsvu3D57FLGGrrIfl6dKgfD3+tFWsJmnAt6Z5HuEG2H0GDVH23Wb2A==" saltValue="sFPSx6suv67EG3ZOCiKY9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EXTREMADURA</v>
      </c>
      <c r="E2" s="267"/>
    </row>
    <row r="3" spans="2:20" ht="17.25" customHeight="1">
      <c r="C3" s="271"/>
      <c r="D3" s="266" t="str">
        <f>Criterios!A10 &amp;"  "&amp;Criterios!B10</f>
        <v>Provincias  BADAJOZ</v>
      </c>
      <c r="E3" s="267"/>
    </row>
    <row r="4" spans="2:20" ht="17.25" customHeight="1" thickBot="1">
      <c r="D4" s="266" t="str">
        <f>Criterios!A11 &amp;"  "&amp;Criterios!B11</f>
        <v>Resumenes por Partidos Judiciales  MERIDA</v>
      </c>
      <c r="E4" s="267"/>
    </row>
    <row r="5" spans="2:20" ht="12.75" customHeight="1">
      <c r="B5" s="276"/>
      <c r="C5" s="1445" t="str">
        <f>"Año:  " &amp;Criterios!B5 &amp; "          Trimestre   " &amp;Criterios!D5 &amp; " al " &amp;Criterios!D6</f>
        <v>Año:  2023          Trimestre   3 al 3</v>
      </c>
      <c r="D5" s="1433" t="s">
        <v>128</v>
      </c>
      <c r="E5" s="1475" t="s">
        <v>13</v>
      </c>
      <c r="F5" s="1472" t="s">
        <v>9</v>
      </c>
      <c r="G5" s="1469" t="s">
        <v>129</v>
      </c>
      <c r="H5" s="1466" t="s">
        <v>7</v>
      </c>
      <c r="I5" s="1430" t="s">
        <v>120</v>
      </c>
      <c r="J5" s="1459" t="s">
        <v>121</v>
      </c>
      <c r="K5" s="1421" t="s">
        <v>122</v>
      </c>
      <c r="M5" s="166"/>
      <c r="N5" s="174" t="s">
        <v>280</v>
      </c>
      <c r="O5" s="166"/>
      <c r="P5" s="166"/>
      <c r="Q5" s="175" t="s">
        <v>281</v>
      </c>
      <c r="R5" s="175"/>
      <c r="S5" s="173"/>
      <c r="T5" s="173"/>
    </row>
    <row r="6" spans="2:20" ht="12.75" customHeight="1">
      <c r="B6" s="277"/>
      <c r="C6" s="1446"/>
      <c r="D6" s="1434"/>
      <c r="E6" s="1476"/>
      <c r="F6" s="1473"/>
      <c r="G6" s="1470"/>
      <c r="H6" s="1467"/>
      <c r="I6" s="1431"/>
      <c r="J6" s="1460"/>
      <c r="K6" s="1422"/>
      <c r="M6" s="1462" t="s">
        <v>296</v>
      </c>
      <c r="N6" s="1462" t="s">
        <v>277</v>
      </c>
      <c r="O6" s="1462" t="s">
        <v>278</v>
      </c>
      <c r="P6" s="1462" t="s">
        <v>279</v>
      </c>
      <c r="Q6" s="1462" t="s">
        <v>296</v>
      </c>
      <c r="R6" s="1462" t="s">
        <v>277</v>
      </c>
      <c r="S6" s="1462" t="s">
        <v>278</v>
      </c>
      <c r="T6" s="1462" t="s">
        <v>279</v>
      </c>
    </row>
    <row r="7" spans="2:20" ht="23.25" customHeight="1" thickBot="1">
      <c r="B7" s="278"/>
      <c r="C7" s="268" t="str">
        <f>Datos!A7</f>
        <v>COMPETENCIAS</v>
      </c>
      <c r="D7" s="1478"/>
      <c r="E7" s="1477"/>
      <c r="F7" s="1474"/>
      <c r="G7" s="1471"/>
      <c r="H7" s="1468"/>
      <c r="I7" s="1479"/>
      <c r="J7" s="1463"/>
      <c r="K7" s="1464"/>
      <c r="M7" s="1462"/>
      <c r="N7" s="1462"/>
      <c r="O7" s="1462"/>
      <c r="P7" s="1462"/>
      <c r="Q7" s="1462"/>
      <c r="R7" s="1462"/>
      <c r="S7" s="1462"/>
      <c r="T7" s="1462"/>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-0.17647058823529413</v>
      </c>
      <c r="E10" s="357">
        <f>IF(ISNUMBER((Datos!J10-Datos!T10)/Datos!T10),(Datos!J10-Datos!T10)/Datos!T10," - ")</f>
        <v>0</v>
      </c>
      <c r="F10" s="357">
        <f>IF(ISNUMBER((Datos!K10-Datos!U10)/Datos!U10),(Datos!K10-Datos!U10)/Datos!U10," - ")</f>
        <v>0.33333333333333331</v>
      </c>
      <c r="G10" s="358">
        <f>IF(ISNUMBER((Datos!L10-Datos!V10)/Datos!V10),(Datos!L10-Datos!V10)/Datos!V10," - ")</f>
        <v>-0.22222222222222221</v>
      </c>
      <c r="H10" s="234">
        <f>IF(ISNUMBER((Datos!M10-Datos!W10)/Datos!W10),(Datos!M10-Datos!W10)/Datos!W10," - ")</f>
        <v>-1</v>
      </c>
      <c r="I10" s="359">
        <f>IF(ISNUMBER((Tasas!C10-Datos!BE10)/Datos!BE10),(Tasas!C10-Datos!BE10)/Datos!BE10," - ")</f>
        <v>-0.41666666666666669</v>
      </c>
      <c r="J10" s="358">
        <f>IF(ISNUMBER((Tasas!D10-Datos!BF10)/Datos!BF10),(Tasas!D10-Datos!BF10)/Datos!BF10," - ")</f>
        <v>-1</v>
      </c>
      <c r="K10" s="360">
        <f>IF(ISNUMBER((Tasas!E10-Datos!BG10)/Datos!BG10),(Tasas!E10-Datos!BG10)/Datos!BG10," - ")</f>
        <v>-0.35714285714285715</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-0.50720461095100866</v>
      </c>
      <c r="I12" s="359">
        <f>IF(ISNUMBER((Tasas!C12-Datos!BE12)/Datos!BE12),(Tasas!C12-Datos!BE12)/Datos!BE12," - ")</f>
        <v>9.8498381937559762E-2</v>
      </c>
      <c r="J12" s="358">
        <f>IF(ISNUMBER((Tasas!D12-Datos!BF12)/Datos!BF12),(Tasas!D12-Datos!BF12)/Datos!BF12," - ")</f>
        <v>-0.19566326530612241</v>
      </c>
      <c r="K12" s="360">
        <f>IF(ISNUMBER((Tasas!E12-Datos!BG12)/Datos!BG12),(Tasas!E12-Datos!BG12)/Datos!BG12," - ")</f>
        <v>4.422663802363061E-2</v>
      </c>
      <c r="M12" t="e">
        <f>IF(Monitorios="SI",Datos!CE12,0)</f>
        <v>#REF!</v>
      </c>
      <c r="N12" t="e">
        <f>IF(Monitorios="SI",Datos!CF12,0)</f>
        <v>#REF!</v>
      </c>
      <c r="O12" t="e">
        <f>IF(Monitorios="SI",Datos!CG12,0)</f>
        <v>#REF!</v>
      </c>
      <c r="P12" t="e">
        <f>IF(Monitorios="SI",Datos!CH12,0)</f>
        <v>#REF!</v>
      </c>
      <c r="Q12">
        <f>IF(J_V="SI",0,Datos!AG12)</f>
        <v>88</v>
      </c>
      <c r="R12">
        <f>IF(J_V="SI",0,Datos!AH12)</f>
        <v>81</v>
      </c>
      <c r="S12">
        <f>IF(J_V="SI",0,Datos!AI12)</f>
        <v>91</v>
      </c>
      <c r="T12">
        <f>IF(J_V="SI",0,Datos!AJ12)</f>
        <v>63</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-0.51002865329512892</v>
      </c>
      <c r="I13" s="366">
        <f>IF(ISNUMBER((Tasas!C13-Datos!BE13)/Datos!BE13),(Tasas!C13-Datos!BE13)/Datos!BE13," - ")</f>
        <v>9.4995380635624516E-2</v>
      </c>
      <c r="J13" s="364">
        <f>IF(ISNUMBER((Tasas!D13-Datos!BF13)/Datos!BF13),(Tasas!D13-Datos!BF13)/Datos!BF13," - ")</f>
        <v>-0.2036320254506894</v>
      </c>
      <c r="K13" s="367">
        <f>IF(ISNUMBER((Tasas!E13-Datos!BG13)/Datos!BG13),(Tasas!E13-Datos!BG13)/Datos!BG13," - ")</f>
        <v>4.216242568196639E-2</v>
      </c>
      <c r="M13" t="e">
        <f>IF(Monitorios="SI",Datos!CE13,0)</f>
        <v>#REF!</v>
      </c>
      <c r="N13" t="e">
        <f>IF(Monitorios="SI",Datos!CF13,0)</f>
        <v>#REF!</v>
      </c>
      <c r="O13" t="e">
        <f>IF(Monitorios="SI",Datos!CG13,0)</f>
        <v>#REF!</v>
      </c>
      <c r="P13" t="e">
        <f>IF(Monitorios="SI",Datos!CH13,0)</f>
        <v>#REF!</v>
      </c>
      <c r="Q13">
        <f>IF(J_V="SI",0,Datos!AG13)</f>
        <v>88</v>
      </c>
      <c r="R13">
        <f>IF(J_V="SI",0,Datos!AH13)</f>
        <v>81</v>
      </c>
      <c r="S13">
        <f>IF(J_V="SI",0,Datos!AI13)</f>
        <v>91</v>
      </c>
      <c r="T13">
        <f>IF(J_V="SI",0,Datos!AJ13)</f>
        <v>63</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1.3898540653231411E-2</v>
      </c>
      <c r="E16" s="357">
        <f>IF(ISNUMBER(
   IF(D_I="SI",(Datos!J16-Datos!T16)/Datos!T16,(Datos!J16+Datos!AD16-(Datos!T16+Datos!AL16))/(Datos!T16+Datos!AL16))
     ),IF(D_I="SI",(Datos!J16-Datos!T16)/Datos!T16,(Datos!J16+Datos!AD16-(Datos!T16+Datos!AL16))/(Datos!T16+Datos!AL16))," - ")</f>
        <v>0.21322690992018245</v>
      </c>
      <c r="F16" s="357">
        <f>IF(ISNUMBER(
   IF(D_I="SI",(Datos!K16-Datos!U16)/Datos!U16,(Datos!K16+Datos!AE16-(Datos!U16+Datos!AM16))/(Datos!U16+Datos!AM16))
     ),IF(D_I="SI",(Datos!K16-Datos!U16)/Datos!U16,(Datos!K16+Datos!AE16-(Datos!U16+Datos!AM16))/(Datos!U16+Datos!AM16))," - ")</f>
        <v>0.26023778071334214</v>
      </c>
      <c r="G16" s="358">
        <f>IF(ISNUMBER(
   IF(D_I="SI",(Datos!L16-Datos!V16)/Datos!V16,(Datos!L16+Datos!AF16-(Datos!V16+Datos!AN16))/(Datos!V16+Datos!AN16))
     ),IF(D_I="SI",(Datos!L16-Datos!V16)/Datos!V16,(Datos!L16+Datos!AF16-(Datos!V16+Datos!AN16))/(Datos!V16+Datos!AN16))," - ")</f>
        <v>1.8733850129198967E-2</v>
      </c>
      <c r="H16" s="234">
        <f>IF(ISNUMBER((Datos!M16-Datos!W16)/Datos!W16),(Datos!M16-Datos!W16)/Datos!W16," - ")</f>
        <v>-0.12605042016806722</v>
      </c>
      <c r="I16" s="359">
        <f>IF(ISNUMBER((Tasas!C16-Datos!BE16)/Datos!BE16),(Tasas!C16-Datos!BE16)/Datos!BE16," - ")</f>
        <v>-0.19163362206729187</v>
      </c>
      <c r="J16" s="358">
        <f>IF(ISNUMBER((Tasas!D16-Datos!BF16)/Datos!BF16),(Tasas!D16-Datos!BF16)/Datos!BF16," - ")</f>
        <v>-0.30652009231365501</v>
      </c>
      <c r="K16" s="360">
        <f>IF(ISNUMBER((Tasas!E16-Datos!BG16)/Datos!BG16),(Tasas!E16-Datos!BG16)/Datos!BG16," - ")</f>
        <v>-0.1355772259697374</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0.5714285714285714</v>
      </c>
      <c r="E17" s="357">
        <f>IF(ISNUMBER(
   IF(D_I="SI",(Datos!J17-Datos!T17)/Datos!T17,(Datos!J17+Datos!AD17-(Datos!T17+Datos!AL17))/(Datos!T17+Datos!AL17))
     ),IF(D_I="SI",(Datos!J17-Datos!T17)/Datos!T17,(Datos!J17+Datos!AD17-(Datos!T17+Datos!AL17))/(Datos!T17+Datos!AL17))," - ")</f>
        <v>-0.2288135593220339</v>
      </c>
      <c r="F17" s="357">
        <f>IF(ISNUMBER(
   IF(D_I="SI",(Datos!K17-Datos!U17)/Datos!U17,(Datos!K17+Datos!AE17-(Datos!U17+Datos!AM17))/(Datos!U17+Datos!AM17))
     ),IF(D_I="SI",(Datos!K17-Datos!U17)/Datos!U17,(Datos!K17+Datos!AE17-(Datos!U17+Datos!AM17))/(Datos!U17+Datos!AM17))," - ")</f>
        <v>0.6875</v>
      </c>
      <c r="G17" s="358">
        <f>IF(ISNUMBER(
   IF(D_I="SI",(Datos!L17-Datos!V17)/Datos!V17,(Datos!L17+Datos!AF17-(Datos!V17+Datos!AN17))/(Datos!V17+Datos!AN17))
     ),IF(D_I="SI",(Datos!L17-Datos!V17)/Datos!V17,(Datos!L17+Datos!AF17-(Datos!V17+Datos!AN17))/(Datos!V17+Datos!AN17))," - ")</f>
        <v>6.7961165048543687E-2</v>
      </c>
      <c r="H17" s="234">
        <f>IF(ISNUMBER((Datos!M17-Datos!W17)/Datos!W17),(Datos!M17-Datos!W17)/Datos!W17," - ")</f>
        <v>0.5</v>
      </c>
      <c r="I17" s="359">
        <f>IF(ISNUMBER((Tasas!C17-Datos!BE17)/Datos!BE17),(Tasas!C17-Datos!BE17)/Datos!BE17," - ")</f>
        <v>-0.36713412441567789</v>
      </c>
      <c r="J17" s="358">
        <f>IF(ISNUMBER((Tasas!D17-Datos!BF17)/Datos!BF17),(Tasas!D17-Datos!BF17)/Datos!BF17," - ")</f>
        <v>-0.11111111111111113</v>
      </c>
      <c r="K17" s="360">
        <f>IF(ISNUMBER((Tasas!E17-Datos!BG17)/Datos!BG17),(Tasas!E17-Datos!BG17)/Datos!BG17," - ")</f>
        <v>-0.26443926443926447</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7.2184194150591158E-2</v>
      </c>
      <c r="E18" s="363">
        <f>IF(ISNUMBER(
   IF(D_I="SI",(Datos!J18-Datos!T18)/Datos!T18,(Datos!J18+Datos!AD18-(Datos!T18+Datos!AL18))/(Datos!T18+Datos!AL18))
     ),IF(D_I="SI",(Datos!J18-Datos!T18)/Datos!T18,(Datos!J18+Datos!AD18-(Datos!T18+Datos!AL18))/(Datos!T18+Datos!AL18))," - ")</f>
        <v>0.16080402010050251</v>
      </c>
      <c r="F18" s="363">
        <f>IF(ISNUMBER(
   IF(D_I="SI",(Datos!K18-Datos!U18)/Datos!U18,(Datos!K18+Datos!AE18-(Datos!U18+Datos!AM18))/(Datos!U18+Datos!AM18))
     ),IF(D_I="SI",(Datos!K18-Datos!U18)/Datos!U18,(Datos!K18+Datos!AE18-(Datos!U18+Datos!AM18))/(Datos!U18+Datos!AM18))," - ")</f>
        <v>0.30107526881720431</v>
      </c>
      <c r="G18" s="364">
        <f>IF(ISNUMBER(
   IF(D_I="SI",(Datos!L18-Datos!V18)/Datos!V18,(Datos!L18+Datos!AF18-(Datos!V18+Datos!AN18))/(Datos!V18+Datos!AN18))
     ),IF(D_I="SI",(Datos!L18-Datos!V18)/Datos!V18,(Datos!L18+Datos!AF18-(Datos!V18+Datos!AN18))/(Datos!V18+Datos!AN18))," - ")</f>
        <v>2.4515393386545039E-2</v>
      </c>
      <c r="H18" s="365">
        <f>IF(ISNUMBER((Datos!M18-Datos!W18)/Datos!W18),(Datos!M18-Datos!W18)/Datos!W18," - ")</f>
        <v>-0.10569105691056911</v>
      </c>
      <c r="I18" s="366">
        <f>IF(ISNUMBER((Tasas!C18-Datos!BE18)/Datos!BE18),(Tasas!C18-Datos!BE18)/Datos!BE18," - ")</f>
        <v>-0.21256254888472156</v>
      </c>
      <c r="J18" s="364">
        <f>IF(ISNUMBER((Tasas!D18-Datos!BF18)/Datos!BF18),(Tasas!D18-Datos!BF18)/Datos!BF18," - ")</f>
        <v>-0.31263858093126384</v>
      </c>
      <c r="K18" s="367">
        <f>IF(ISNUMBER((Tasas!E18-Datos!BG18)/Datos!BG18),(Tasas!E18-Datos!BG18)/Datos!BG18," - ")</f>
        <v>-0.1498783516811607</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-1.8805590851334181E-2</v>
      </c>
      <c r="E19" s="372">
        <f>IF(ISNUMBER(
   IF(J_V="SI",(Datos!J19-Datos!T19)/Datos!T19,(Datos!J19+Datos!Z19-(Datos!T19+Datos!AH19))/(Datos!T19+Datos!AH19))
     ),IF(J_V="SI",(Datos!J19-Datos!T19)/Datos!T19,(Datos!J19+Datos!Z19-(Datos!T19+Datos!AH19))/(Datos!T19+Datos!AH19))," - ")</f>
        <v>0.13039117352056168</v>
      </c>
      <c r="F19" s="372">
        <f>IF(ISNUMBER(
   IF(J_V="SI",(Datos!K19-Datos!U19)/Datos!U19,(Datos!K19+Datos!AA19-(Datos!U19+Datos!AI19))/(Datos!U19+Datos!AI19))
     ),IF(J_V="SI",(Datos!K19-Datos!U19)/Datos!U19,(Datos!K19+Datos!AA19-(Datos!U19+Datos!AI19))/(Datos!U19+Datos!AI19))," - ")</f>
        <v>9.6245372818614491E-2</v>
      </c>
      <c r="G19" s="373">
        <f>IF(ISNUMBER(
   IF(J_V="SI",(Datos!L19-Datos!V19)/Datos!V19,(Datos!L19+Datos!AB19-(Datos!V19+Datos!AJ19))/(Datos!V19+Datos!AJ19))
     ),IF(J_V="SI",(Datos!L19-Datos!V19)/Datos!V19,(Datos!L19+Datos!AB19-(Datos!V19+Datos!AJ19))/(Datos!V19+Datos!AJ19))," - ")</f>
        <v>2.3267577137076379E-2</v>
      </c>
      <c r="H19" s="374">
        <f>IF(ISNUMBER((Datos!M19-Datos!W19)/Datos!W19),(Datos!M19-Datos!W19)/Datos!W19," - ")</f>
        <v>-0.40466101694915252</v>
      </c>
      <c r="I19" s="371">
        <f>IF(ISNUMBER((Tasas!C19-Datos!BE19)/Datos!BE19),(Tasas!C19-Datos!BE19)/Datos!BE19," - ")</f>
        <v>-6.6570676137862383E-2</v>
      </c>
      <c r="J19" s="372">
        <f>IF(ISNUMBER((Tasas!D19-Datos!BF19)/Datos!BF19),(Tasas!D19-Datos!BF19)/Datos!BF19," - ")</f>
        <v>-0.27385418075922863</v>
      </c>
      <c r="K19" s="373">
        <f>IF(ISNUMBER((Tasas!E19-Datos!BG19)/Datos!BG19),(Tasas!E19-Datos!BG19)/Datos!BG19," - ")</f>
        <v>-5.9178490738247998E-2</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0.3189703042508697</v>
      </c>
      <c r="E21" s="282">
        <f t="shared" si="1"/>
        <v>0.19866829283678944</v>
      </c>
      <c r="F21" s="282">
        <f t="shared" si="1"/>
        <v>0.19692687891089072</v>
      </c>
      <c r="G21" s="283">
        <f t="shared" si="1"/>
        <v>0.13149460313994191</v>
      </c>
      <c r="H21" s="289">
        <f t="shared" si="1"/>
        <v>0.50687794944912523</v>
      </c>
      <c r="I21" s="281">
        <f t="shared" si="1"/>
        <v>0.22099388076592358</v>
      </c>
      <c r="J21" s="282">
        <f t="shared" si="1"/>
        <v>0.32494676752160773</v>
      </c>
      <c r="K21" s="283">
        <f t="shared" si="1"/>
        <v>0.16112944153138323</v>
      </c>
    </row>
    <row r="22" spans="2:20" ht="13.5" thickTop="1">
      <c r="C22" s="1465"/>
      <c r="D22" s="1465"/>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29 nov.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pgUWgpC7FeJXZzh2uiHF3LV/aTJ0Gb03zbRi/KWtvm/Uv5MdBakcpKyyYD+GDdM+e7gbVJhE5hYHvboy4bZf/g==" saltValue="0uCpbFe374gDb36ofBJeg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2023-11-29T09:09:29Z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